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E6CE" lockStructure="1"/>
  <bookViews>
    <workbookView xWindow="480" yWindow="60" windowWidth="22995" windowHeight="10035"/>
  </bookViews>
  <sheets>
    <sheet name="kostenconfigurator VO" sheetId="1" r:id="rId1"/>
    <sheet name="rekenblad (verbergen)" sheetId="2" state="hidden" r:id="rId2"/>
  </sheets>
  <definedNames>
    <definedName name="_BVO1" localSheetId="1">'rekenblad (verbergen)'!#REF!</definedName>
    <definedName name="_dak1" localSheetId="1">'rekenblad (verbergen)'!#REF!</definedName>
    <definedName name="_xlnm.Print_Area" localSheetId="0">'kostenconfigurator VO'!$A$1:$F$78</definedName>
    <definedName name="biwa1" localSheetId="1">'rekenblad (verbergen)'!#REF!</definedName>
    <definedName name="BVOO1" localSheetId="1">'rekenblad (verbergen)'!#REF!</definedName>
    <definedName name="FUNDO1" localSheetId="1">'rekenblad (verbergen)'!#REF!</definedName>
    <definedName name="GEVEL1" localSheetId="1">'rekenblad (verbergen)'!#REF!</definedName>
  </definedNames>
  <calcPr calcId="145621"/>
</workbook>
</file>

<file path=xl/calcChain.xml><?xml version="1.0" encoding="utf-8"?>
<calcChain xmlns="http://schemas.openxmlformats.org/spreadsheetml/2006/main">
  <c r="E34" i="1" l="1"/>
  <c r="D34" i="1"/>
  <c r="C34" i="1"/>
  <c r="E43" i="1" l="1"/>
  <c r="D43" i="1"/>
  <c r="C43" i="1"/>
  <c r="E30" i="1"/>
  <c r="D30" i="1"/>
  <c r="C30" i="1"/>
  <c r="Q7" i="2" l="1"/>
  <c r="K29" i="1" l="1"/>
  <c r="J29" i="1"/>
  <c r="I29" i="1"/>
  <c r="E54" i="1" l="1"/>
  <c r="D54" i="1"/>
  <c r="C54" i="1"/>
  <c r="J8" i="1" l="1"/>
  <c r="J7" i="1"/>
  <c r="E69" i="1" l="1"/>
  <c r="D69" i="1"/>
  <c r="C69" i="1"/>
  <c r="E28" i="1" l="1"/>
  <c r="D28" i="1"/>
  <c r="C28" i="1"/>
  <c r="C29" i="1" l="1"/>
  <c r="C31" i="1" s="1"/>
  <c r="D29" i="1"/>
  <c r="D31" i="1" s="1"/>
  <c r="E29" i="1"/>
  <c r="E31" i="1" s="1"/>
  <c r="E52" i="1"/>
  <c r="D52" i="1"/>
  <c r="C52" i="1"/>
  <c r="A17" i="1" l="1"/>
  <c r="A16" i="1"/>
  <c r="A15" i="1"/>
  <c r="A14" i="1"/>
  <c r="A13" i="1"/>
  <c r="A12" i="1"/>
  <c r="P7" i="2" l="1"/>
  <c r="P6" i="2"/>
  <c r="P5" i="2"/>
  <c r="O7" i="2"/>
  <c r="O6" i="2"/>
  <c r="O5" i="2"/>
  <c r="O4" i="2"/>
  <c r="M53" i="2" l="1"/>
  <c r="H41" i="2"/>
  <c r="E40" i="2"/>
  <c r="I28" i="2"/>
  <c r="M46" i="2"/>
  <c r="H46" i="2"/>
  <c r="E43" i="2"/>
  <c r="L53" i="2"/>
  <c r="E41" i="2"/>
  <c r="E46" i="2"/>
  <c r="M41" i="2"/>
  <c r="I53" i="2"/>
  <c r="D41" i="2"/>
  <c r="M28" i="2"/>
  <c r="E28" i="2"/>
  <c r="I46" i="2"/>
  <c r="I41" i="2"/>
  <c r="H53" i="2"/>
  <c r="M40" i="2"/>
  <c r="E53" i="2"/>
  <c r="I40" i="2"/>
  <c r="M43" i="2"/>
  <c r="L41" i="2"/>
  <c r="D53" i="2"/>
  <c r="L46" i="2"/>
  <c r="I43" i="2"/>
  <c r="D46" i="2"/>
  <c r="M23" i="2"/>
  <c r="E23" i="2"/>
  <c r="I23" i="2"/>
  <c r="L23" i="2"/>
  <c r="H23" i="2"/>
  <c r="D23" i="2"/>
  <c r="A21" i="2"/>
  <c r="K6" i="2"/>
  <c r="K5" i="2"/>
  <c r="K4" i="2"/>
  <c r="K20" i="2" s="1"/>
  <c r="G6" i="2"/>
  <c r="G5" i="2"/>
  <c r="G4" i="2"/>
  <c r="G20" i="2" s="1"/>
  <c r="C6" i="2"/>
  <c r="C5" i="2"/>
  <c r="C4" i="2"/>
  <c r="C20" i="2" s="1"/>
  <c r="A6" i="2"/>
  <c r="A5" i="2"/>
  <c r="A4" i="2"/>
  <c r="G25" i="2" l="1"/>
  <c r="I25" i="2"/>
  <c r="H25" i="2"/>
  <c r="M25" i="2"/>
  <c r="K25" i="2"/>
  <c r="L25" i="2"/>
  <c r="M26" i="2"/>
  <c r="E26" i="2"/>
  <c r="C25" i="2"/>
  <c r="K26" i="2"/>
  <c r="K22" i="2" s="1"/>
  <c r="G26" i="2"/>
  <c r="C26" i="2"/>
  <c r="E25" i="2"/>
  <c r="L26" i="2"/>
  <c r="H26" i="2"/>
  <c r="I26" i="2"/>
  <c r="D25" i="2"/>
  <c r="D22" i="2" s="1"/>
  <c r="D26" i="2"/>
  <c r="M33" i="2"/>
  <c r="L33" i="2"/>
  <c r="K33" i="2"/>
  <c r="I33" i="2"/>
  <c r="H33" i="2"/>
  <c r="G33" i="2"/>
  <c r="C33" i="2"/>
  <c r="E33" i="2"/>
  <c r="D33" i="2"/>
  <c r="E57" i="2"/>
  <c r="D57" i="2"/>
  <c r="C57" i="2"/>
  <c r="D54" i="2"/>
  <c r="E44" i="2"/>
  <c r="E39" i="2" s="1"/>
  <c r="C38" i="2"/>
  <c r="D44" i="2"/>
  <c r="D39" i="2" s="1"/>
  <c r="D50" i="2"/>
  <c r="C44" i="2"/>
  <c r="C39" i="2" s="1"/>
  <c r="C45" i="1" s="1"/>
  <c r="C50" i="2"/>
  <c r="D38" i="2"/>
  <c r="E38" i="2"/>
  <c r="E50" i="2"/>
  <c r="C22" i="2"/>
  <c r="E22" i="2"/>
  <c r="I44" i="2"/>
  <c r="I39" i="2" s="1"/>
  <c r="H44" i="2"/>
  <c r="H39" i="2" s="1"/>
  <c r="H54" i="2"/>
  <c r="G22" i="2"/>
  <c r="G44" i="2"/>
  <c r="G39" i="2" s="1"/>
  <c r="D45" i="1" s="1"/>
  <c r="H57" i="2"/>
  <c r="G57" i="2"/>
  <c r="I50" i="2"/>
  <c r="H50" i="2"/>
  <c r="G38" i="2"/>
  <c r="G50" i="2"/>
  <c r="I38" i="2"/>
  <c r="H38" i="2"/>
  <c r="I57" i="2"/>
  <c r="M50" i="2"/>
  <c r="M44" i="2"/>
  <c r="M39" i="2" s="1"/>
  <c r="K44" i="2"/>
  <c r="K39" i="2" s="1"/>
  <c r="E45" i="1" s="1"/>
  <c r="L50" i="2"/>
  <c r="K50" i="2"/>
  <c r="M38" i="2"/>
  <c r="L44" i="2"/>
  <c r="L39" i="2" s="1"/>
  <c r="L38" i="2"/>
  <c r="K38" i="2"/>
  <c r="L54" i="2"/>
  <c r="M57" i="2"/>
  <c r="L57" i="2"/>
  <c r="K57" i="2"/>
  <c r="K14" i="2"/>
  <c r="K12" i="2"/>
  <c r="K11" i="2"/>
  <c r="K9" i="2"/>
  <c r="G14" i="2"/>
  <c r="G12" i="2"/>
  <c r="I30" i="2" s="1"/>
  <c r="G11" i="2"/>
  <c r="G9" i="2"/>
  <c r="H9" i="2" s="1"/>
  <c r="C14" i="2"/>
  <c r="C11" i="2"/>
  <c r="C12" i="2"/>
  <c r="E30" i="2" s="1"/>
  <c r="L9" i="2"/>
  <c r="C9" i="2"/>
  <c r="E47" i="2" l="1"/>
  <c r="I47" i="2"/>
  <c r="L47" i="2"/>
  <c r="H47" i="2"/>
  <c r="M47" i="2"/>
  <c r="D47" i="2"/>
  <c r="E54" i="2"/>
  <c r="C59" i="1"/>
  <c r="D59" i="1"/>
  <c r="I54" i="2"/>
  <c r="E59" i="1"/>
  <c r="K13" i="2"/>
  <c r="M52" i="2"/>
  <c r="M30" i="2"/>
  <c r="C13" i="2"/>
  <c r="C70" i="1" s="1"/>
  <c r="E52" i="2"/>
  <c r="I22" i="2"/>
  <c r="L22" i="2"/>
  <c r="K15" i="2"/>
  <c r="M55" i="2"/>
  <c r="K56" i="2"/>
  <c r="L55" i="2"/>
  <c r="K55" i="2"/>
  <c r="M56" i="2"/>
  <c r="L56" i="2"/>
  <c r="C15" i="2"/>
  <c r="D56" i="2"/>
  <c r="E56" i="2"/>
  <c r="E55" i="2"/>
  <c r="C56" i="2"/>
  <c r="D55" i="2"/>
  <c r="C55" i="2"/>
  <c r="H22" i="2"/>
  <c r="M22" i="2"/>
  <c r="M54" i="2"/>
  <c r="G13" i="2"/>
  <c r="D70" i="1" s="1"/>
  <c r="I52" i="2"/>
  <c r="G15" i="2"/>
  <c r="G56" i="2"/>
  <c r="I55" i="2"/>
  <c r="H55" i="2"/>
  <c r="I56" i="2"/>
  <c r="G55" i="2"/>
  <c r="G51" i="2" s="1"/>
  <c r="D47" i="1" s="1"/>
  <c r="H56" i="2"/>
  <c r="G16" i="2"/>
  <c r="G10" i="2"/>
  <c r="G18" i="2" s="1"/>
  <c r="K16" i="2"/>
  <c r="K10" i="2"/>
  <c r="K18" i="2" s="1"/>
  <c r="C16" i="2"/>
  <c r="D9" i="2"/>
  <c r="C10" i="2"/>
  <c r="E40" i="1"/>
  <c r="E13" i="1" s="1"/>
  <c r="D40" i="1"/>
  <c r="D13" i="1" s="1"/>
  <c r="C40" i="1"/>
  <c r="C13" i="1" s="1"/>
  <c r="E60" i="1" l="1"/>
  <c r="E70" i="1"/>
  <c r="E62" i="1"/>
  <c r="D62" i="1"/>
  <c r="C62" i="1"/>
  <c r="C53" i="1"/>
  <c r="C68" i="1"/>
  <c r="C71" i="1" s="1"/>
  <c r="C17" i="1" s="1"/>
  <c r="E53" i="1"/>
  <c r="E68" i="1"/>
  <c r="D53" i="1"/>
  <c r="D68" i="1"/>
  <c r="D71" i="1" s="1"/>
  <c r="D17" i="1" s="1"/>
  <c r="C61" i="1"/>
  <c r="C51" i="1"/>
  <c r="D61" i="1"/>
  <c r="D51" i="1"/>
  <c r="D60" i="1"/>
  <c r="L17" i="2"/>
  <c r="E64" i="1"/>
  <c r="E63" i="1"/>
  <c r="E55" i="1"/>
  <c r="C60" i="1"/>
  <c r="K51" i="2"/>
  <c r="E47" i="1" s="1"/>
  <c r="E61" i="1"/>
  <c r="E51" i="1"/>
  <c r="D17" i="2"/>
  <c r="C64" i="1"/>
  <c r="C63" i="1"/>
  <c r="C55" i="1"/>
  <c r="H17" i="2"/>
  <c r="D64" i="1"/>
  <c r="D63" i="1"/>
  <c r="D55" i="1"/>
  <c r="H51" i="2"/>
  <c r="L51" i="2"/>
  <c r="D51" i="2"/>
  <c r="E51" i="2"/>
  <c r="I51" i="2"/>
  <c r="E48" i="2"/>
  <c r="D48" i="2"/>
  <c r="C48" i="2"/>
  <c r="C45" i="2" s="1"/>
  <c r="C46" i="1" s="1"/>
  <c r="C29" i="2"/>
  <c r="C27" i="2" s="1"/>
  <c r="C44" i="1" s="1"/>
  <c r="D29" i="2"/>
  <c r="D27" i="2" s="1"/>
  <c r="E29" i="2"/>
  <c r="E27" i="2" s="1"/>
  <c r="D45" i="2"/>
  <c r="E45" i="2"/>
  <c r="C51" i="2"/>
  <c r="C47" i="1" s="1"/>
  <c r="M51" i="2"/>
  <c r="I48" i="2"/>
  <c r="H48" i="2"/>
  <c r="G48" i="2"/>
  <c r="G45" i="2" s="1"/>
  <c r="D46" i="1" s="1"/>
  <c r="I29" i="2"/>
  <c r="I27" i="2" s="1"/>
  <c r="G29" i="2"/>
  <c r="G27" i="2" s="1"/>
  <c r="D44" i="1" s="1"/>
  <c r="H29" i="2"/>
  <c r="H27" i="2" s="1"/>
  <c r="M48" i="2"/>
  <c r="L48" i="2"/>
  <c r="K48" i="2"/>
  <c r="K45" i="2" s="1"/>
  <c r="E46" i="1" s="1"/>
  <c r="K29" i="2"/>
  <c r="K27" i="2" s="1"/>
  <c r="E44" i="1" s="1"/>
  <c r="L29" i="2"/>
  <c r="L27" i="2" s="1"/>
  <c r="M29" i="2"/>
  <c r="M27" i="2" s="1"/>
  <c r="C18" i="2"/>
  <c r="D18" i="2" s="1"/>
  <c r="D10" i="2"/>
  <c r="L18" i="2"/>
  <c r="L10" i="2"/>
  <c r="H18" i="2"/>
  <c r="H10" i="2"/>
  <c r="E71" i="1" l="1"/>
  <c r="E17" i="1" s="1"/>
  <c r="I45" i="2"/>
  <c r="E56" i="1"/>
  <c r="E15" i="1" s="1"/>
  <c r="C65" i="1"/>
  <c r="C16" i="1" s="1"/>
  <c r="E65" i="1"/>
  <c r="E16" i="1" s="1"/>
  <c r="D65" i="1"/>
  <c r="D16" i="1" s="1"/>
  <c r="D56" i="1"/>
  <c r="D15" i="1" s="1"/>
  <c r="H45" i="2"/>
  <c r="C56" i="1"/>
  <c r="C15" i="1" s="1"/>
  <c r="D48" i="1"/>
  <c r="D14" i="1" s="1"/>
  <c r="E48" i="1"/>
  <c r="E14" i="1" s="1"/>
  <c r="C48" i="1"/>
  <c r="C14" i="1" s="1"/>
  <c r="M45" i="2"/>
  <c r="L45" i="2"/>
  <c r="E12" i="1"/>
  <c r="D12" i="1"/>
  <c r="C12" i="1"/>
  <c r="E18" i="1" l="1"/>
  <c r="E19" i="1" s="1"/>
  <c r="E20" i="1" s="1"/>
  <c r="D18" i="1"/>
  <c r="D19" i="1" s="1"/>
  <c r="D20" i="1" s="1"/>
  <c r="C18" i="1"/>
  <c r="C19" i="1" s="1"/>
  <c r="C20" i="1" s="1"/>
</calcChain>
</file>

<file path=xl/comments1.xml><?xml version="1.0" encoding="utf-8"?>
<comments xmlns="http://schemas.openxmlformats.org/spreadsheetml/2006/main">
  <authors>
    <author>Gemert, Martijn van (Hevo)</author>
  </authors>
  <commentList>
    <comment ref="D54" authorId="0">
      <text>
        <r>
          <rPr>
            <b/>
            <sz val="9"/>
            <color indexed="81"/>
            <rFont val="Tahoma"/>
            <family val="2"/>
          </rPr>
          <t>Gemert, Martijn van (Hevo):</t>
        </r>
        <r>
          <rPr>
            <sz val="9"/>
            <color indexed="81"/>
            <rFont val="Tahoma"/>
            <family val="2"/>
          </rPr>
          <t xml:space="preserve">
meerkosten voor plafonds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Gemert, Martijn van (Hevo):</t>
        </r>
        <r>
          <rPr>
            <sz val="9"/>
            <color indexed="81"/>
            <rFont val="Tahoma"/>
            <family val="2"/>
          </rPr>
          <t xml:space="preserve">
meerkosten voor plafonds én wandabsorptie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Gemert, Martijn van (Hevo):</t>
        </r>
        <r>
          <rPr>
            <sz val="9"/>
            <color indexed="81"/>
            <rFont val="Tahoma"/>
            <family val="2"/>
          </rPr>
          <t xml:space="preserve">
meerkosten voor plafonds</t>
        </r>
      </text>
    </comment>
    <comment ref="I54" authorId="0">
      <text>
        <r>
          <rPr>
            <b/>
            <sz val="9"/>
            <color indexed="81"/>
            <rFont val="Tahoma"/>
            <family val="2"/>
          </rPr>
          <t>Gemert, Martijn van (Hevo):</t>
        </r>
        <r>
          <rPr>
            <sz val="9"/>
            <color indexed="81"/>
            <rFont val="Tahoma"/>
            <family val="2"/>
          </rPr>
          <t xml:space="preserve">
meerkosten voor plafonds én wandabsorptie</t>
        </r>
      </text>
    </comment>
    <comment ref="L54" authorId="0">
      <text>
        <r>
          <rPr>
            <b/>
            <sz val="9"/>
            <color indexed="81"/>
            <rFont val="Tahoma"/>
            <family val="2"/>
          </rPr>
          <t>Gemert, Martijn van (Hevo):</t>
        </r>
        <r>
          <rPr>
            <sz val="9"/>
            <color indexed="81"/>
            <rFont val="Tahoma"/>
            <family val="2"/>
          </rPr>
          <t xml:space="preserve">
meerkosten voor plafonds</t>
        </r>
      </text>
    </comment>
    <comment ref="M54" authorId="0">
      <text>
        <r>
          <rPr>
            <b/>
            <sz val="9"/>
            <color indexed="81"/>
            <rFont val="Tahoma"/>
            <family val="2"/>
          </rPr>
          <t>Gemert, Martijn van (Hevo):</t>
        </r>
        <r>
          <rPr>
            <sz val="9"/>
            <color indexed="81"/>
            <rFont val="Tahoma"/>
            <family val="2"/>
          </rPr>
          <t xml:space="preserve">
meerkosten voor plafonds én wandabsorptie</t>
        </r>
      </text>
    </comment>
  </commentList>
</comments>
</file>

<file path=xl/sharedStrings.xml><?xml version="1.0" encoding="utf-8"?>
<sst xmlns="http://schemas.openxmlformats.org/spreadsheetml/2006/main" count="200" uniqueCount="123">
  <si>
    <t>Voortgezet Onderwijs:</t>
  </si>
  <si>
    <t>Uitgangspunt bouwlagen:</t>
  </si>
  <si>
    <t>Uitgangspunt brutovloeroppervlak (BVO) [m²]:</t>
  </si>
  <si>
    <t>opslagpercentages:</t>
  </si>
  <si>
    <t>installaties</t>
  </si>
  <si>
    <t>bouwkundig</t>
  </si>
  <si>
    <t>Totaalkosten conform minimaal geldende landelijke regelgeving</t>
  </si>
  <si>
    <t>p.m.</t>
  </si>
  <si>
    <t>A/B/C</t>
  </si>
  <si>
    <t>Energie</t>
  </si>
  <si>
    <t>Lucht</t>
  </si>
  <si>
    <t>Temperatuur</t>
  </si>
  <si>
    <t>Licht</t>
  </si>
  <si>
    <t>Geluid</t>
  </si>
  <si>
    <t>Totaalkosten Frisse Scholen</t>
  </si>
  <si>
    <t>j/n</t>
  </si>
  <si>
    <t>Toepassing aluminium kozijnen (i.p.v. hout)</t>
  </si>
  <si>
    <t>Onderhoudsarme vloerafwerking (i.p.v. marmoleum)</t>
  </si>
  <si>
    <t>Onderhoudsarme wandafwerking (i.p.v. spuitwerk)</t>
  </si>
  <si>
    <t>Groen dak</t>
  </si>
  <si>
    <t>Elektrisch (centraal) bedienbare zonwering</t>
  </si>
  <si>
    <t>Triple beglazing (i.p.v. HR++ glas)</t>
  </si>
  <si>
    <t>Vergroten isolatiewaarden dak (Rc &gt; 8,0 m²K/W)</t>
  </si>
  <si>
    <t>Groen gevel</t>
  </si>
  <si>
    <t>…</t>
  </si>
  <si>
    <t>Rekenblad</t>
  </si>
  <si>
    <t>m2</t>
  </si>
  <si>
    <t>Funderingsoppervlak</t>
  </si>
  <si>
    <t>BVO onderbouw</t>
  </si>
  <si>
    <t>Bruto Inhoud</t>
  </si>
  <si>
    <t>m3</t>
  </si>
  <si>
    <t>Bruto Geveloppervlak</t>
  </si>
  <si>
    <t>Gevel openingen (m2)</t>
  </si>
  <si>
    <t>Bruto binnenwand oppervlak</t>
  </si>
  <si>
    <t>Binnenwand openingen (m2)</t>
  </si>
  <si>
    <t>Bruto Dakoppervlak</t>
  </si>
  <si>
    <t>Dakopeningen (m2)</t>
  </si>
  <si>
    <t>Bruto terreinoppervlak</t>
  </si>
  <si>
    <t>Verdere uitgangspunten t.b.v. kostenberekening:</t>
  </si>
  <si>
    <t>vf</t>
  </si>
  <si>
    <t>hvh</t>
  </si>
  <si>
    <t>EPG</t>
  </si>
  <si>
    <t>A</t>
  </si>
  <si>
    <t>B</t>
  </si>
  <si>
    <t>C</t>
  </si>
  <si>
    <t>Duurzame energie</t>
  </si>
  <si>
    <t>Beheer</t>
  </si>
  <si>
    <t>Kwaliteitsborging</t>
  </si>
  <si>
    <t>Luchtverversing</t>
  </si>
  <si>
    <t>Spuiventilatie</t>
  </si>
  <si>
    <t>Ruimtevolume</t>
  </si>
  <si>
    <t>Kwaliteit van de toevoerlucht</t>
  </si>
  <si>
    <t>Emissies van materialen</t>
  </si>
  <si>
    <t>Emissies van apparatuur</t>
  </si>
  <si>
    <t>Schoonmaakbaarheid</t>
  </si>
  <si>
    <t>Tabaksrook</t>
  </si>
  <si>
    <t>Toiletten</t>
  </si>
  <si>
    <t>Legionella</t>
  </si>
  <si>
    <t>Operatieve temperatuur winter</t>
  </si>
  <si>
    <t>Operatieve temperatuur zomer</t>
  </si>
  <si>
    <t>Lokaal thermisch discomfort</t>
  </si>
  <si>
    <t>Kunstlicht</t>
  </si>
  <si>
    <t>Daglicht</t>
  </si>
  <si>
    <t>Helderheidswering</t>
  </si>
  <si>
    <t>Individuele beïnvloeding</t>
  </si>
  <si>
    <t>Geluidswering van de gevel</t>
  </si>
  <si>
    <t>Installatiegeluid</t>
  </si>
  <si>
    <t>Ruimteakoestiek</t>
  </si>
  <si>
    <t>Luchtgeluidisolatie</t>
  </si>
  <si>
    <t>Contactgeluidisolatie</t>
  </si>
  <si>
    <t>TOTAALKOSTEN:</t>
  </si>
  <si>
    <t>investeringskosten incl. BTW</t>
  </si>
  <si>
    <t>Vergroten isolatiewaarden gevel (Rc &gt; 6,0 m²K/W)</t>
  </si>
  <si>
    <t>is incl. gemiddelde paalfundering</t>
  </si>
  <si>
    <t>Marsh eisen (gemeentelijke eisen)</t>
  </si>
  <si>
    <t>Verplaatsbare paneelwanden (50 m²)</t>
  </si>
  <si>
    <t>Vergroten zichtlijnen binnen (meer transparantie binnenwanden/-openingen, van 12% naar 18%)</t>
  </si>
  <si>
    <t>Marktwerking:</t>
  </si>
  <si>
    <r>
      <rPr>
        <vertAlign val="superscript"/>
        <sz val="10"/>
        <rFont val="Arial"/>
        <family val="2"/>
      </rPr>
      <t>2:</t>
    </r>
    <r>
      <rPr>
        <sz val="10"/>
        <rFont val="Arial"/>
        <family val="2"/>
      </rPr>
      <t xml:space="preserve"> Betreft het gat om de kosten te dekken tussen de normvergoeding en de minimale kwaliteitseisen.</t>
    </r>
  </si>
  <si>
    <t>in post EPG!!</t>
  </si>
  <si>
    <t>in basisprincipe</t>
  </si>
  <si>
    <t xml:space="preserve">actieve luchtkoeling meegenomen </t>
  </si>
  <si>
    <t>bij koeling</t>
  </si>
  <si>
    <t>betere roosters bij A</t>
  </si>
  <si>
    <t>(bevat honoraria, leges, prijsstijgingen, btw)</t>
  </si>
  <si>
    <t>inschatting:</t>
  </si>
  <si>
    <t>n</t>
  </si>
  <si>
    <t>in normvergoeding 2,8m hoogte</t>
  </si>
  <si>
    <t>NIEUWBOUW KOSTENCONFIGURATOR VOORTGEZET ONDERWIJS</t>
  </si>
  <si>
    <r>
      <t>Normkosten VNG 2016</t>
    </r>
    <r>
      <rPr>
        <vertAlign val="superscript"/>
        <sz val="10"/>
        <rFont val="Arial"/>
        <family val="2"/>
      </rPr>
      <t>1</t>
    </r>
  </si>
  <si>
    <r>
      <t>Aanvullende kosten t.b.v. Bouwbesluit 2015</t>
    </r>
    <r>
      <rPr>
        <vertAlign val="superscript"/>
        <sz val="10"/>
        <rFont val="Arial"/>
        <family val="2"/>
      </rPr>
      <t>2</t>
    </r>
  </si>
  <si>
    <r>
      <t>Vergroten kierdichtheid gevel (q</t>
    </r>
    <r>
      <rPr>
        <vertAlign val="subscript"/>
        <sz val="10"/>
        <rFont val="Arial"/>
        <family val="2"/>
      </rPr>
      <t>v;10</t>
    </r>
    <r>
      <rPr>
        <sz val="10"/>
        <rFont val="Arial"/>
        <family val="2"/>
      </rPr>
      <t xml:space="preserve"> ≤ 0,25 dm³/s.m²)</t>
    </r>
  </si>
  <si>
    <r>
      <rPr>
        <vertAlign val="superscript"/>
        <sz val="10"/>
        <rFont val="Arial"/>
        <family val="2"/>
      </rPr>
      <t>1:</t>
    </r>
    <r>
      <rPr>
        <sz val="10"/>
        <rFont val="Arial"/>
        <family val="2"/>
      </rPr>
      <t xml:space="preserve"> Normvergoeding VNG modelverordening.</t>
    </r>
  </si>
  <si>
    <t>Kosten in stichtingskosten incl. BTW / m² BVO</t>
  </si>
  <si>
    <t>Prijspeil 2016</t>
  </si>
  <si>
    <t>vmbo</t>
  </si>
  <si>
    <t>havo/vwo</t>
  </si>
  <si>
    <t>vmbo/
havo/vwo</t>
  </si>
  <si>
    <t>Subtotaal:</t>
  </si>
  <si>
    <t>Afgeschermde gevel i.v.m. ontsluitingsweg en/of spoorweg</t>
  </si>
  <si>
    <t>Hemelwaterberging</t>
  </si>
  <si>
    <t>Parkeren uit het zicht (verdiept/kelder)</t>
  </si>
  <si>
    <t>Totaalkosten exploitatiegericht bouwen</t>
  </si>
  <si>
    <t>Totaalkosten duurzaam bouwen</t>
  </si>
  <si>
    <t>Totaalkosten vergroten kwaliteit</t>
  </si>
  <si>
    <t>INVULVELDEN (in grijs)</t>
  </si>
  <si>
    <t>RESUMÉ</t>
  </si>
  <si>
    <t>Uitgangspunten</t>
  </si>
  <si>
    <t>Stedenbouwkundige randvoorwaarden</t>
  </si>
  <si>
    <t>Basis, vaste kosten</t>
  </si>
  <si>
    <t>Locatiegebonden kosten</t>
  </si>
  <si>
    <t>Exploitatiegericht bouwen</t>
  </si>
  <si>
    <t>Duurzaam bouwen</t>
  </si>
  <si>
    <t>Vergroten kwaliteit</t>
  </si>
  <si>
    <r>
      <rPr>
        <vertAlign val="superscript"/>
        <sz val="10"/>
        <rFont val="Arial"/>
        <family val="2"/>
      </rPr>
      <t>3:</t>
    </r>
    <r>
      <rPr>
        <sz val="10"/>
        <rFont val="Arial"/>
        <family val="2"/>
      </rPr>
      <t xml:space="preserve"> BENG betekent Bijna EnergieNeutraal Gebouw. Per 1-1-2020 is dit verplicht.</t>
    </r>
  </si>
  <si>
    <r>
      <rPr>
        <vertAlign val="superscript"/>
        <sz val="10"/>
        <rFont val="Arial"/>
        <family val="2"/>
      </rPr>
      <t>4:</t>
    </r>
    <r>
      <rPr>
        <sz val="10"/>
        <rFont val="Arial"/>
        <family val="2"/>
      </rPr>
      <t xml:space="preserve"> In dit overzicht is het Programma van Eisen Frisse Scholen versie september 2015 verwerkt.</t>
    </r>
  </si>
  <si>
    <r>
      <rPr>
        <vertAlign val="superscript"/>
        <sz val="10"/>
        <rFont val="Arial"/>
        <family val="2"/>
      </rPr>
      <t>5:</t>
    </r>
    <r>
      <rPr>
        <sz val="10"/>
        <rFont val="Arial"/>
        <family val="2"/>
      </rPr>
      <t xml:space="preserve"> Let op overlappingen met o.a. PvE Frisse Scholen.</t>
    </r>
  </si>
  <si>
    <r>
      <t>Aanvullende kosten BENG school</t>
    </r>
    <r>
      <rPr>
        <vertAlign val="superscript"/>
        <sz val="10"/>
        <rFont val="Arial"/>
        <family val="2"/>
      </rPr>
      <t>3</t>
    </r>
  </si>
  <si>
    <r>
      <t>Programma van Eisen Frisse Scholen</t>
    </r>
    <r>
      <rPr>
        <b/>
        <vertAlign val="superscript"/>
        <sz val="10"/>
        <rFont val="Arial"/>
        <family val="2"/>
      </rPr>
      <t>4</t>
    </r>
  </si>
  <si>
    <r>
      <t>Toepassing LED-verlichting (i.p.v. HF-TL)</t>
    </r>
    <r>
      <rPr>
        <vertAlign val="superscript"/>
        <sz val="10"/>
        <rFont val="Arial"/>
        <family val="2"/>
      </rPr>
      <t>5</t>
    </r>
  </si>
  <si>
    <r>
      <t>Toepassing zonnepanelen (10% v.h. dakoppervlak)</t>
    </r>
    <r>
      <rPr>
        <vertAlign val="superscript"/>
        <sz val="10"/>
        <rFont val="Arial"/>
        <family val="2"/>
      </rPr>
      <t>5</t>
    </r>
  </si>
  <si>
    <t>j</t>
  </si>
  <si>
    <t>Totaalkosten locatiegebonden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</si>
</sst>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€&quot;\ * #,##0_-;_-&quot;€&quot;\ * #,##0\-;_-&quot;€&quot;\ * &quot;-&quot;??_-;_-@_-"/>
    <numFmt numFmtId="165" formatCode="_-* #,##0_-;_-* #,##0\-;_-* &quot;-&quot;??_-;_-@_-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3049"/>
        <bgColor indexed="64"/>
      </patternFill>
    </fill>
    <fill>
      <patternFill patternType="solid">
        <fgColor rgb="FF9B9B9B"/>
        <bgColor rgb="FF9B9B9B"/>
      </patternFill>
    </fill>
    <fill>
      <patternFill patternType="solid">
        <fgColor rgb="FF9B9B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56AA1C"/>
      </patternFill>
    </fill>
    <fill>
      <patternFill patternType="solid">
        <fgColor rgb="FF00CC0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/>
      <top style="mediumDashDotDot">
        <color auto="1"/>
      </top>
      <bottom/>
      <diagonal/>
    </border>
    <border>
      <left style="medium">
        <color rgb="FF003049"/>
      </left>
      <right/>
      <top style="medium">
        <color rgb="FF003049"/>
      </top>
      <bottom/>
      <diagonal/>
    </border>
    <border>
      <left/>
      <right/>
      <top style="medium">
        <color rgb="FF003049"/>
      </top>
      <bottom/>
      <diagonal/>
    </border>
    <border>
      <left/>
      <right style="medium">
        <color rgb="FF003049"/>
      </right>
      <top style="medium">
        <color rgb="FF003049"/>
      </top>
      <bottom/>
      <diagonal/>
    </border>
    <border>
      <left style="medium">
        <color rgb="FF003049"/>
      </left>
      <right/>
      <top style="thin">
        <color auto="1"/>
      </top>
      <bottom/>
      <diagonal/>
    </border>
    <border>
      <left/>
      <right style="medium">
        <color rgb="FF003049"/>
      </right>
      <top style="thin">
        <color auto="1"/>
      </top>
      <bottom/>
      <diagonal/>
    </border>
    <border>
      <left style="medium">
        <color rgb="FF003049"/>
      </left>
      <right/>
      <top/>
      <bottom/>
      <diagonal/>
    </border>
    <border>
      <left/>
      <right style="medium">
        <color rgb="FF003049"/>
      </right>
      <top/>
      <bottom/>
      <diagonal/>
    </border>
    <border>
      <left style="medium">
        <color rgb="FF003049"/>
      </left>
      <right/>
      <top/>
      <bottom style="double">
        <color auto="1"/>
      </bottom>
      <diagonal/>
    </border>
    <border>
      <left/>
      <right style="medium">
        <color rgb="FF003049"/>
      </right>
      <top/>
      <bottom style="double">
        <color auto="1"/>
      </bottom>
      <diagonal/>
    </border>
    <border>
      <left style="medium">
        <color rgb="FF003049"/>
      </left>
      <right/>
      <top style="double">
        <color auto="1"/>
      </top>
      <bottom/>
      <diagonal/>
    </border>
    <border>
      <left/>
      <right style="medium">
        <color rgb="FF003049"/>
      </right>
      <top style="double">
        <color auto="1"/>
      </top>
      <bottom/>
      <diagonal/>
    </border>
    <border>
      <left style="medium">
        <color rgb="FF003049"/>
      </left>
      <right/>
      <top style="double">
        <color auto="1"/>
      </top>
      <bottom style="medium">
        <color rgb="FF003049"/>
      </bottom>
      <diagonal/>
    </border>
    <border>
      <left/>
      <right/>
      <top style="double">
        <color auto="1"/>
      </top>
      <bottom style="medium">
        <color rgb="FF003049"/>
      </bottom>
      <diagonal/>
    </border>
    <border>
      <left/>
      <right style="medium">
        <color rgb="FF003049"/>
      </right>
      <top style="double">
        <color auto="1"/>
      </top>
      <bottom style="medium">
        <color rgb="FF003049"/>
      </bottom>
      <diagonal/>
    </border>
    <border>
      <left style="medium">
        <color rgb="FF003049"/>
      </left>
      <right/>
      <top style="thin">
        <color auto="1"/>
      </top>
      <bottom style="medium">
        <color rgb="FF003049"/>
      </bottom>
      <diagonal/>
    </border>
    <border>
      <left/>
      <right/>
      <top style="thin">
        <color auto="1"/>
      </top>
      <bottom style="medium">
        <color rgb="FF003049"/>
      </bottom>
      <diagonal/>
    </border>
    <border>
      <left/>
      <right style="medium">
        <color rgb="FF003049"/>
      </right>
      <top style="thin">
        <color auto="1"/>
      </top>
      <bottom style="medium">
        <color rgb="FF00304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rgb="FF003049"/>
      </left>
      <right/>
      <top/>
      <bottom style="dotted">
        <color auto="1"/>
      </bottom>
      <diagonal/>
    </border>
    <border>
      <left/>
      <right style="medium">
        <color rgb="FF003049"/>
      </right>
      <top/>
      <bottom style="dott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left" indent="1"/>
    </xf>
    <xf numFmtId="0" fontId="3" fillId="0" borderId="0" xfId="0" applyFont="1"/>
    <xf numFmtId="0" fontId="5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8" xfId="0" applyBorder="1"/>
    <xf numFmtId="43" fontId="0" fillId="0" borderId="0" xfId="1" applyFont="1"/>
    <xf numFmtId="0" fontId="0" fillId="0" borderId="11" xfId="0" applyFont="1" applyBorder="1"/>
    <xf numFmtId="0" fontId="0" fillId="0" borderId="11" xfId="0" applyBorder="1"/>
    <xf numFmtId="165" fontId="0" fillId="0" borderId="11" xfId="1" applyNumberFormat="1" applyFont="1" applyBorder="1"/>
    <xf numFmtId="0" fontId="0" fillId="0" borderId="0" xfId="0" applyFill="1" applyBorder="1" applyAlignment="1">
      <alignment horizontal="left" indent="2"/>
    </xf>
    <xf numFmtId="0" fontId="0" fillId="0" borderId="8" xfId="0" applyBorder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3" applyFont="1"/>
    <xf numFmtId="0" fontId="4" fillId="0" borderId="0" xfId="0" applyFont="1"/>
    <xf numFmtId="0" fontId="7" fillId="2" borderId="0" xfId="0" applyFont="1" applyFill="1" applyAlignment="1">
      <alignment horizontal="center"/>
    </xf>
    <xf numFmtId="0" fontId="7" fillId="0" borderId="0" xfId="0" applyFont="1"/>
    <xf numFmtId="0" fontId="7" fillId="2" borderId="0" xfId="0" applyFont="1" applyFill="1" applyBorder="1" applyAlignment="1">
      <alignment horizontal="left" indent="1"/>
    </xf>
    <xf numFmtId="164" fontId="7" fillId="2" borderId="13" xfId="2" applyNumberFormat="1" applyFont="1" applyFill="1" applyBorder="1" applyAlignment="1">
      <alignment horizontal="center"/>
    </xf>
    <xf numFmtId="164" fontId="7" fillId="2" borderId="0" xfId="2" applyNumberFormat="1" applyFont="1" applyFill="1"/>
    <xf numFmtId="164" fontId="7" fillId="2" borderId="11" xfId="2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44" fontId="0" fillId="0" borderId="0" xfId="2" applyNumberFormat="1" applyFont="1" applyFill="1"/>
    <xf numFmtId="44" fontId="0" fillId="0" borderId="0" xfId="2" applyNumberFormat="1" applyFont="1"/>
    <xf numFmtId="44" fontId="10" fillId="0" borderId="0" xfId="2" applyNumberFormat="1" applyFont="1" applyFill="1"/>
    <xf numFmtId="0" fontId="8" fillId="6" borderId="0" xfId="0" applyFont="1" applyFill="1" applyBorder="1"/>
    <xf numFmtId="0" fontId="14" fillId="6" borderId="0" xfId="0" applyFont="1" applyFill="1" applyAlignment="1">
      <alignment horizontal="right"/>
    </xf>
    <xf numFmtId="0" fontId="10" fillId="6" borderId="0" xfId="0" applyFont="1" applyFill="1"/>
    <xf numFmtId="0" fontId="15" fillId="6" borderId="0" xfId="0" applyFont="1" applyFill="1"/>
    <xf numFmtId="0" fontId="14" fillId="6" borderId="0" xfId="0" applyFont="1" applyFill="1"/>
    <xf numFmtId="0" fontId="10" fillId="6" borderId="1" xfId="0" applyFont="1" applyFill="1" applyBorder="1"/>
    <xf numFmtId="0" fontId="10" fillId="6" borderId="3" xfId="0" applyFont="1" applyFill="1" applyBorder="1"/>
    <xf numFmtId="0" fontId="10" fillId="6" borderId="4" xfId="0" applyFont="1" applyFill="1" applyBorder="1"/>
    <xf numFmtId="0" fontId="10" fillId="6" borderId="0" xfId="0" applyFont="1" applyFill="1" applyBorder="1"/>
    <xf numFmtId="0" fontId="10" fillId="6" borderId="0" xfId="0" applyFont="1" applyFill="1" applyBorder="1" applyAlignment="1">
      <alignment horizontal="center"/>
    </xf>
    <xf numFmtId="0" fontId="16" fillId="6" borderId="2" xfId="0" applyFont="1" applyFill="1" applyBorder="1"/>
    <xf numFmtId="9" fontId="10" fillId="6" borderId="5" xfId="0" applyNumberFormat="1" applyFont="1" applyFill="1" applyBorder="1"/>
    <xf numFmtId="0" fontId="10" fillId="6" borderId="6" xfId="0" applyFont="1" applyFill="1" applyBorder="1"/>
    <xf numFmtId="165" fontId="10" fillId="6" borderId="0" xfId="1" applyNumberFormat="1" applyFont="1" applyFill="1"/>
    <xf numFmtId="9" fontId="10" fillId="6" borderId="7" xfId="0" applyNumberFormat="1" applyFont="1" applyFill="1" applyBorder="1"/>
    <xf numFmtId="0" fontId="14" fillId="6" borderId="0" xfId="0" quotePrefix="1" applyFont="1" applyFill="1"/>
    <xf numFmtId="0" fontId="10" fillId="6" borderId="17" xfId="0" applyFont="1" applyFill="1" applyBorder="1"/>
    <xf numFmtId="0" fontId="10" fillId="6" borderId="8" xfId="0" applyFont="1" applyFill="1" applyBorder="1"/>
    <xf numFmtId="164" fontId="10" fillId="6" borderId="1" xfId="0" applyNumberFormat="1" applyFont="1" applyFill="1" applyBorder="1"/>
    <xf numFmtId="164" fontId="10" fillId="6" borderId="0" xfId="0" applyNumberFormat="1" applyFont="1" applyFill="1" applyBorder="1"/>
    <xf numFmtId="0" fontId="10" fillId="6" borderId="15" xfId="0" applyFont="1" applyFill="1" applyBorder="1"/>
    <xf numFmtId="164" fontId="10" fillId="6" borderId="15" xfId="0" applyNumberFormat="1" applyFont="1" applyFill="1" applyBorder="1"/>
    <xf numFmtId="0" fontId="10" fillId="6" borderId="14" xfId="0" applyFont="1" applyFill="1" applyBorder="1"/>
    <xf numFmtId="164" fontId="10" fillId="6" borderId="14" xfId="2" applyNumberFormat="1" applyFont="1" applyFill="1" applyBorder="1"/>
    <xf numFmtId="0" fontId="10" fillId="6" borderId="0" xfId="0" applyFont="1" applyFill="1" applyBorder="1" applyAlignment="1">
      <alignment horizontal="left" indent="1"/>
    </xf>
    <xf numFmtId="164" fontId="10" fillId="6" borderId="0" xfId="2" applyNumberFormat="1" applyFont="1" applyFill="1" applyBorder="1"/>
    <xf numFmtId="9" fontId="10" fillId="6" borderId="0" xfId="0" applyNumberFormat="1" applyFont="1" applyFill="1" applyBorder="1"/>
    <xf numFmtId="0" fontId="10" fillId="6" borderId="8" xfId="0" applyFont="1" applyFill="1" applyBorder="1" applyAlignment="1">
      <alignment horizontal="center"/>
    </xf>
    <xf numFmtId="164" fontId="10" fillId="6" borderId="0" xfId="2" applyNumberFormat="1" applyFont="1" applyFill="1"/>
    <xf numFmtId="0" fontId="10" fillId="7" borderId="8" xfId="0" applyFont="1" applyFill="1" applyBorder="1" applyAlignment="1">
      <alignment horizontal="center"/>
    </xf>
    <xf numFmtId="0" fontId="10" fillId="7" borderId="1" xfId="0" applyFont="1" applyFill="1" applyBorder="1"/>
    <xf numFmtId="164" fontId="10" fillId="7" borderId="1" xfId="0" applyNumberFormat="1" applyFont="1" applyFill="1" applyBorder="1"/>
    <xf numFmtId="0" fontId="10" fillId="6" borderId="16" xfId="0" applyFont="1" applyFill="1" applyBorder="1"/>
    <xf numFmtId="165" fontId="10" fillId="6" borderId="0" xfId="1" applyNumberFormat="1" applyFont="1" applyFill="1" applyBorder="1" applyAlignment="1">
      <alignment horizontal="center"/>
    </xf>
    <xf numFmtId="9" fontId="10" fillId="4" borderId="0" xfId="3" applyFont="1" applyFill="1" applyBorder="1" applyAlignment="1">
      <alignment horizontal="center"/>
    </xf>
    <xf numFmtId="0" fontId="6" fillId="3" borderId="18" xfId="0" applyFont="1" applyFill="1" applyBorder="1"/>
    <xf numFmtId="0" fontId="8" fillId="3" borderId="19" xfId="0" applyFont="1" applyFill="1" applyBorder="1"/>
    <xf numFmtId="0" fontId="8" fillId="3" borderId="20" xfId="0" applyFont="1" applyFill="1" applyBorder="1"/>
    <xf numFmtId="0" fontId="10" fillId="6" borderId="21" xfId="0" applyFont="1" applyFill="1" applyBorder="1" applyAlignment="1">
      <alignment horizontal="left" indent="1"/>
    </xf>
    <xf numFmtId="164" fontId="10" fillId="6" borderId="22" xfId="0" applyNumberFormat="1" applyFont="1" applyFill="1" applyBorder="1"/>
    <xf numFmtId="0" fontId="10" fillId="6" borderId="23" xfId="0" applyFont="1" applyFill="1" applyBorder="1" applyAlignment="1">
      <alignment horizontal="left" indent="1"/>
    </xf>
    <xf numFmtId="164" fontId="10" fillId="6" borderId="24" xfId="0" applyNumberFormat="1" applyFont="1" applyFill="1" applyBorder="1"/>
    <xf numFmtId="0" fontId="10" fillId="6" borderId="25" xfId="0" applyFont="1" applyFill="1" applyBorder="1" applyAlignment="1">
      <alignment horizontal="left" indent="1"/>
    </xf>
    <xf numFmtId="164" fontId="10" fillId="6" borderId="26" xfId="0" applyNumberFormat="1" applyFont="1" applyFill="1" applyBorder="1"/>
    <xf numFmtId="0" fontId="10" fillId="6" borderId="27" xfId="0" applyFont="1" applyFill="1" applyBorder="1" applyAlignment="1">
      <alignment horizontal="left"/>
    </xf>
    <xf numFmtId="164" fontId="10" fillId="6" borderId="28" xfId="2" applyNumberFormat="1" applyFont="1" applyFill="1" applyBorder="1"/>
    <xf numFmtId="164" fontId="10" fillId="6" borderId="24" xfId="2" applyNumberFormat="1" applyFont="1" applyFill="1" applyBorder="1"/>
    <xf numFmtId="0" fontId="6" fillId="8" borderId="29" xfId="0" applyFont="1" applyFill="1" applyBorder="1" applyAlignment="1">
      <alignment horizontal="left"/>
    </xf>
    <xf numFmtId="0" fontId="6" fillId="8" borderId="30" xfId="0" applyFont="1" applyFill="1" applyBorder="1"/>
    <xf numFmtId="164" fontId="6" fillId="8" borderId="30" xfId="2" applyNumberFormat="1" applyFont="1" applyFill="1" applyBorder="1"/>
    <xf numFmtId="164" fontId="6" fillId="8" borderId="31" xfId="2" applyNumberFormat="1" applyFont="1" applyFill="1" applyBorder="1"/>
    <xf numFmtId="0" fontId="10" fillId="5" borderId="0" xfId="0" applyFont="1" applyFill="1" applyBorder="1" applyAlignment="1">
      <alignment horizontal="center"/>
    </xf>
    <xf numFmtId="0" fontId="10" fillId="6" borderId="32" xfId="0" applyFont="1" applyFill="1" applyBorder="1"/>
    <xf numFmtId="0" fontId="10" fillId="6" borderId="33" xfId="0" applyFont="1" applyFill="1" applyBorder="1"/>
    <xf numFmtId="164" fontId="10" fillId="6" borderId="33" xfId="0" applyNumberFormat="1" applyFont="1" applyFill="1" applyBorder="1"/>
    <xf numFmtId="164" fontId="10" fillId="6" borderId="34" xfId="0" applyNumberFormat="1" applyFont="1" applyFill="1" applyBorder="1"/>
    <xf numFmtId="0" fontId="17" fillId="6" borderId="35" xfId="0" applyFont="1" applyFill="1" applyBorder="1"/>
    <xf numFmtId="0" fontId="14" fillId="6" borderId="36" xfId="0" applyFont="1" applyFill="1" applyBorder="1"/>
    <xf numFmtId="0" fontId="10" fillId="6" borderId="36" xfId="0" applyFont="1" applyFill="1" applyBorder="1"/>
    <xf numFmtId="0" fontId="10" fillId="6" borderId="37" xfId="0" applyFont="1" applyFill="1" applyBorder="1"/>
    <xf numFmtId="0" fontId="10" fillId="6" borderId="38" xfId="0" applyFont="1" applyFill="1" applyBorder="1"/>
    <xf numFmtId="0" fontId="10" fillId="6" borderId="39" xfId="0" applyFont="1" applyFill="1" applyBorder="1" applyAlignment="1">
      <alignment horizontal="center" wrapText="1"/>
    </xf>
    <xf numFmtId="165" fontId="10" fillId="6" borderId="39" xfId="1" applyNumberFormat="1" applyFont="1" applyFill="1" applyBorder="1" applyAlignment="1">
      <alignment horizontal="center"/>
    </xf>
    <xf numFmtId="0" fontId="10" fillId="6" borderId="40" xfId="0" applyFont="1" applyFill="1" applyBorder="1"/>
    <xf numFmtId="0" fontId="10" fillId="6" borderId="41" xfId="0" applyFont="1" applyFill="1" applyBorder="1"/>
    <xf numFmtId="165" fontId="10" fillId="6" borderId="41" xfId="1" applyNumberFormat="1" applyFont="1" applyFill="1" applyBorder="1" applyAlignment="1">
      <alignment horizontal="center"/>
    </xf>
    <xf numFmtId="165" fontId="10" fillId="6" borderId="42" xfId="1" applyNumberFormat="1" applyFont="1" applyFill="1" applyBorder="1" applyAlignment="1">
      <alignment horizontal="center"/>
    </xf>
    <xf numFmtId="0" fontId="6" fillId="6" borderId="23" xfId="0" applyFont="1" applyFill="1" applyBorder="1"/>
    <xf numFmtId="0" fontId="8" fillId="6" borderId="24" xfId="0" applyFont="1" applyFill="1" applyBorder="1"/>
    <xf numFmtId="0" fontId="10" fillId="6" borderId="44" xfId="0" applyFont="1" applyFill="1" applyBorder="1" applyAlignment="1">
      <alignment horizontal="center" wrapText="1"/>
    </xf>
    <xf numFmtId="0" fontId="10" fillId="6" borderId="21" xfId="0" applyFont="1" applyFill="1" applyBorder="1"/>
    <xf numFmtId="0" fontId="10" fillId="6" borderId="23" xfId="0" applyFont="1" applyFill="1" applyBorder="1"/>
    <xf numFmtId="0" fontId="10" fillId="6" borderId="24" xfId="0" applyFont="1" applyFill="1" applyBorder="1"/>
    <xf numFmtId="0" fontId="10" fillId="7" borderId="23" xfId="0" applyFont="1" applyFill="1" applyBorder="1" applyAlignment="1">
      <alignment horizontal="left" indent="1"/>
    </xf>
    <xf numFmtId="0" fontId="10" fillId="4" borderId="0" xfId="0" applyFont="1" applyFill="1" applyBorder="1" applyAlignment="1">
      <alignment horizontal="center"/>
    </xf>
    <xf numFmtId="164" fontId="10" fillId="7" borderId="0" xfId="2" applyNumberFormat="1" applyFont="1" applyFill="1" applyBorder="1"/>
    <xf numFmtId="164" fontId="10" fillId="7" borderId="24" xfId="2" applyNumberFormat="1" applyFont="1" applyFill="1" applyBorder="1"/>
    <xf numFmtId="0" fontId="10" fillId="7" borderId="21" xfId="0" applyFont="1" applyFill="1" applyBorder="1"/>
    <xf numFmtId="164" fontId="10" fillId="7" borderId="22" xfId="0" applyNumberFormat="1" applyFont="1" applyFill="1" applyBorder="1"/>
    <xf numFmtId="0" fontId="17" fillId="6" borderId="43" xfId="0" applyFont="1" applyFill="1" applyBorder="1"/>
    <xf numFmtId="0" fontId="17" fillId="7" borderId="43" xfId="0" applyFont="1" applyFill="1" applyBorder="1"/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colors>
    <mruColors>
      <color rgb="FF003049"/>
      <color rgb="FF9B9B9B"/>
      <color rgb="FF009EA0"/>
      <color rgb="FF56AA1C"/>
      <color rgb="FFFFFF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0</xdr:rowOff>
    </xdr:from>
    <xdr:to>
      <xdr:col>4</xdr:col>
      <xdr:colOff>781049</xdr:colOff>
      <xdr:row>2</xdr:row>
      <xdr:rowOff>152399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0"/>
          <a:ext cx="476249" cy="476249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5429252</xdr:colOff>
      <xdr:row>33</xdr:row>
      <xdr:rowOff>96715</xdr:rowOff>
    </xdr:from>
    <xdr:to>
      <xdr:col>0</xdr:col>
      <xdr:colOff>6162676</xdr:colOff>
      <xdr:row>38</xdr:row>
      <xdr:rowOff>68251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2" y="6049840"/>
          <a:ext cx="733424" cy="781161"/>
        </a:xfrm>
        <a:prstGeom prst="rect">
          <a:avLst/>
        </a:prstGeom>
      </xdr:spPr>
    </xdr:pic>
    <xdr:clientData/>
  </xdr:twoCellAnchor>
  <xdr:twoCellAnchor editAs="oneCell">
    <xdr:from>
      <xdr:col>0</xdr:col>
      <xdr:colOff>5486401</xdr:colOff>
      <xdr:row>58</xdr:row>
      <xdr:rowOff>19783</xdr:rowOff>
    </xdr:from>
    <xdr:to>
      <xdr:col>0</xdr:col>
      <xdr:colOff>6248401</xdr:colOff>
      <xdr:row>63</xdr:row>
      <xdr:rowOff>153867</xdr:rowOff>
    </xdr:to>
    <xdr:pic>
      <xdr:nvPicPr>
        <xdr:cNvPr id="6" name="Afbeelding 5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53" t="5570" r="8528" b="5944"/>
        <a:stretch/>
      </xdr:blipFill>
      <xdr:spPr>
        <a:xfrm>
          <a:off x="5486401" y="10544908"/>
          <a:ext cx="762000" cy="981809"/>
        </a:xfrm>
        <a:prstGeom prst="rect">
          <a:avLst/>
        </a:prstGeom>
      </xdr:spPr>
    </xdr:pic>
    <xdr:clientData/>
  </xdr:twoCellAnchor>
  <xdr:twoCellAnchor editAs="oneCell">
    <xdr:from>
      <xdr:col>0</xdr:col>
      <xdr:colOff>5561671</xdr:colOff>
      <xdr:row>67</xdr:row>
      <xdr:rowOff>8183</xdr:rowOff>
    </xdr:from>
    <xdr:to>
      <xdr:col>0</xdr:col>
      <xdr:colOff>6224239</xdr:colOff>
      <xdr:row>69</xdr:row>
      <xdr:rowOff>158199</xdr:rowOff>
    </xdr:to>
    <xdr:pic>
      <xdr:nvPicPr>
        <xdr:cNvPr id="8" name="Afbeelding 7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2" t="6857" r="4592" b="6287"/>
        <a:stretch/>
      </xdr:blipFill>
      <xdr:spPr>
        <a:xfrm>
          <a:off x="5561671" y="12200183"/>
          <a:ext cx="662568" cy="474271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5524500</xdr:colOff>
      <xdr:row>50</xdr:row>
      <xdr:rowOff>14831</xdr:rowOff>
    </xdr:from>
    <xdr:to>
      <xdr:col>0</xdr:col>
      <xdr:colOff>6147251</xdr:colOff>
      <xdr:row>54</xdr:row>
      <xdr:rowOff>171450</xdr:rowOff>
    </xdr:to>
    <xdr:pic>
      <xdr:nvPicPr>
        <xdr:cNvPr id="10" name="Afbeelding 9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12" t="4445" r="14666" b="8000"/>
        <a:stretch/>
      </xdr:blipFill>
      <xdr:spPr>
        <a:xfrm>
          <a:off x="5524500" y="9044531"/>
          <a:ext cx="622751" cy="823369"/>
        </a:xfrm>
        <a:prstGeom prst="rect">
          <a:avLst/>
        </a:prstGeom>
      </xdr:spPr>
    </xdr:pic>
    <xdr:clientData/>
  </xdr:twoCellAnchor>
  <xdr:twoCellAnchor editAs="oneCell">
    <xdr:from>
      <xdr:col>0</xdr:col>
      <xdr:colOff>5267325</xdr:colOff>
      <xdr:row>42</xdr:row>
      <xdr:rowOff>6383</xdr:rowOff>
    </xdr:from>
    <xdr:to>
      <xdr:col>0</xdr:col>
      <xdr:colOff>6248400</xdr:colOff>
      <xdr:row>46</xdr:row>
      <xdr:rowOff>133350</xdr:rowOff>
    </xdr:to>
    <xdr:pic>
      <xdr:nvPicPr>
        <xdr:cNvPr id="12" name="Afbeelding 11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12" t="8525" r="9812" b="6744"/>
        <a:stretch/>
      </xdr:blipFill>
      <xdr:spPr>
        <a:xfrm>
          <a:off x="5267325" y="7578758"/>
          <a:ext cx="981075" cy="77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K78"/>
  <sheetViews>
    <sheetView tabSelected="1" view="pageBreakPreview" zoomScaleNormal="100" zoomScaleSheetLayoutView="100" workbookViewId="0"/>
  </sheetViews>
  <sheetFormatPr defaultRowHeight="12.75" x14ac:dyDescent="0.2"/>
  <cols>
    <col min="1" max="1" width="94.85546875" style="32" customWidth="1"/>
    <col min="2" max="2" width="6" style="32" bestFit="1" customWidth="1"/>
    <col min="3" max="5" width="11.7109375" style="32" customWidth="1"/>
    <col min="6" max="7" width="1.7109375" style="32" customWidth="1"/>
    <col min="8" max="8" width="0" style="32" hidden="1" customWidth="1"/>
    <col min="9" max="9" width="26.28515625" style="32" hidden="1" customWidth="1"/>
    <col min="10" max="11" width="10.85546875" style="32" hidden="1" customWidth="1"/>
    <col min="12" max="16384" width="9.140625" style="32"/>
  </cols>
  <sheetData>
    <row r="1" spans="1:11" x14ac:dyDescent="0.2">
      <c r="A1" s="33" t="s">
        <v>88</v>
      </c>
      <c r="B1" s="33"/>
    </row>
    <row r="2" spans="1:11" x14ac:dyDescent="0.2">
      <c r="A2" s="34" t="s">
        <v>93</v>
      </c>
      <c r="B2" s="34"/>
    </row>
    <row r="3" spans="1:11" x14ac:dyDescent="0.2">
      <c r="A3" s="34" t="s">
        <v>94</v>
      </c>
      <c r="B3" s="34"/>
    </row>
    <row r="4" spans="1:11" x14ac:dyDescent="0.2">
      <c r="A4" s="34"/>
      <c r="B4" s="34"/>
    </row>
    <row r="5" spans="1:11" x14ac:dyDescent="0.2">
      <c r="A5" s="86" t="s">
        <v>107</v>
      </c>
      <c r="B5" s="87"/>
      <c r="C5" s="88"/>
      <c r="D5" s="88"/>
      <c r="E5" s="89"/>
    </row>
    <row r="6" spans="1:11" ht="25.5" x14ac:dyDescent="0.2">
      <c r="A6" s="90" t="s">
        <v>0</v>
      </c>
      <c r="B6" s="38"/>
      <c r="C6" s="39" t="s">
        <v>95</v>
      </c>
      <c r="D6" s="39" t="s">
        <v>96</v>
      </c>
      <c r="E6" s="91" t="s">
        <v>97</v>
      </c>
      <c r="I6" s="40" t="s">
        <v>3</v>
      </c>
      <c r="J6" s="36"/>
    </row>
    <row r="7" spans="1:11" x14ac:dyDescent="0.2">
      <c r="A7" s="90" t="s">
        <v>1</v>
      </c>
      <c r="B7" s="38"/>
      <c r="C7" s="63">
        <v>2</v>
      </c>
      <c r="D7" s="63">
        <v>3</v>
      </c>
      <c r="E7" s="92">
        <v>3</v>
      </c>
      <c r="I7" s="37" t="s">
        <v>4</v>
      </c>
      <c r="J7" s="41">
        <f>1.06*1.03-1</f>
        <v>9.1800000000000104E-2</v>
      </c>
    </row>
    <row r="8" spans="1:11" x14ac:dyDescent="0.2">
      <c r="A8" s="93" t="s">
        <v>2</v>
      </c>
      <c r="B8" s="94"/>
      <c r="C8" s="95">
        <v>5000</v>
      </c>
      <c r="D8" s="95">
        <v>8000</v>
      </c>
      <c r="E8" s="96">
        <v>13000</v>
      </c>
      <c r="F8" s="43"/>
      <c r="G8" s="43"/>
      <c r="I8" s="37" t="s">
        <v>5</v>
      </c>
      <c r="J8" s="41">
        <f>1.09*1.06*1.03-1</f>
        <v>0.19006200000000018</v>
      </c>
    </row>
    <row r="9" spans="1:11" ht="13.5" thickBot="1" x14ac:dyDescent="0.25">
      <c r="I9" s="42" t="s">
        <v>71</v>
      </c>
      <c r="J9" s="44">
        <v>0.46</v>
      </c>
      <c r="K9" s="45" t="s">
        <v>84</v>
      </c>
    </row>
    <row r="10" spans="1:11" ht="13.5" thickBot="1" x14ac:dyDescent="0.25">
      <c r="A10" s="46"/>
      <c r="B10" s="46"/>
      <c r="C10" s="46"/>
      <c r="D10" s="46"/>
      <c r="E10" s="46"/>
    </row>
    <row r="11" spans="1:11" x14ac:dyDescent="0.2">
      <c r="A11" s="65" t="s">
        <v>106</v>
      </c>
      <c r="B11" s="66"/>
      <c r="C11" s="66"/>
      <c r="D11" s="66"/>
      <c r="E11" s="67"/>
    </row>
    <row r="12" spans="1:11" x14ac:dyDescent="0.2">
      <c r="A12" s="68" t="str">
        <f>+A31</f>
        <v>Totaalkosten conform minimaal geldende landelijke regelgeving</v>
      </c>
      <c r="B12" s="35"/>
      <c r="C12" s="48">
        <f>+C31</f>
        <v>1487.9679750000003</v>
      </c>
      <c r="D12" s="48">
        <f>+D31</f>
        <v>1372.0379399999999</v>
      </c>
      <c r="E12" s="69">
        <f>+E31</f>
        <v>1361.2815450000003</v>
      </c>
    </row>
    <row r="13" spans="1:11" x14ac:dyDescent="0.2">
      <c r="A13" s="70" t="str">
        <f>+A40</f>
        <v>Totaalkosten locatiegebonden</v>
      </c>
      <c r="B13" s="38"/>
      <c r="C13" s="49">
        <f>+C40</f>
        <v>19.128336000000001</v>
      </c>
      <c r="D13" s="49">
        <f>+D40</f>
        <v>15.940280000000001</v>
      </c>
      <c r="E13" s="71">
        <f>+E40</f>
        <v>15.940280000000001</v>
      </c>
    </row>
    <row r="14" spans="1:11" x14ac:dyDescent="0.2">
      <c r="A14" s="70" t="str">
        <f>+A48</f>
        <v>Totaalkosten Frisse Scholen</v>
      </c>
      <c r="B14" s="38"/>
      <c r="C14" s="49">
        <f>+C48</f>
        <v>0</v>
      </c>
      <c r="D14" s="49">
        <f>+D48</f>
        <v>0</v>
      </c>
      <c r="E14" s="71">
        <f>+E48</f>
        <v>0</v>
      </c>
    </row>
    <row r="15" spans="1:11" x14ac:dyDescent="0.2">
      <c r="A15" s="70" t="str">
        <f>+A56</f>
        <v>Totaalkosten exploitatiegericht bouwen</v>
      </c>
      <c r="B15" s="38"/>
      <c r="C15" s="49">
        <f>+C56</f>
        <v>0</v>
      </c>
      <c r="D15" s="49">
        <f>+D56</f>
        <v>0</v>
      </c>
      <c r="E15" s="71">
        <f>+E56</f>
        <v>0</v>
      </c>
    </row>
    <row r="16" spans="1:11" x14ac:dyDescent="0.2">
      <c r="A16" s="70" t="str">
        <f>+A65</f>
        <v>Totaalkosten duurzaam bouwen</v>
      </c>
      <c r="B16" s="38"/>
      <c r="C16" s="49">
        <f>+C65</f>
        <v>0</v>
      </c>
      <c r="D16" s="49">
        <f>+D65</f>
        <v>0</v>
      </c>
      <c r="E16" s="71">
        <f>+E65</f>
        <v>0</v>
      </c>
    </row>
    <row r="17" spans="1:11" ht="13.5" thickBot="1" x14ac:dyDescent="0.25">
      <c r="A17" s="72" t="str">
        <f>+A71</f>
        <v>Totaalkosten vergroten kwaliteit</v>
      </c>
      <c r="B17" s="50"/>
      <c r="C17" s="51">
        <f>+C71</f>
        <v>0</v>
      </c>
      <c r="D17" s="51">
        <f>+D71</f>
        <v>0</v>
      </c>
      <c r="E17" s="73">
        <f>+E71</f>
        <v>0</v>
      </c>
    </row>
    <row r="18" spans="1:11" ht="13.5" thickTop="1" x14ac:dyDescent="0.2">
      <c r="A18" s="74" t="s">
        <v>98</v>
      </c>
      <c r="B18" s="52"/>
      <c r="C18" s="53">
        <f>+SUM(C12:C17)</f>
        <v>1507.0963110000002</v>
      </c>
      <c r="D18" s="53">
        <f>+SUM(D12:D17)</f>
        <v>1387.97822</v>
      </c>
      <c r="E18" s="75">
        <f>+SUM(E12:E17)</f>
        <v>1377.2218250000003</v>
      </c>
    </row>
    <row r="19" spans="1:11" ht="13.5" thickBot="1" x14ac:dyDescent="0.25">
      <c r="A19" s="70" t="s">
        <v>77</v>
      </c>
      <c r="B19" s="64">
        <v>0</v>
      </c>
      <c r="C19" s="55">
        <f>+C18*B19</f>
        <v>0</v>
      </c>
      <c r="D19" s="55">
        <f>+D18*B19</f>
        <v>0</v>
      </c>
      <c r="E19" s="76">
        <f>+E18*B19</f>
        <v>0</v>
      </c>
    </row>
    <row r="20" spans="1:11" ht="14.25" thickTop="1" thickBot="1" x14ac:dyDescent="0.25">
      <c r="A20" s="77" t="s">
        <v>70</v>
      </c>
      <c r="B20" s="78"/>
      <c r="C20" s="79">
        <f>+SUM(C18:C19)</f>
        <v>1507.0963110000002</v>
      </c>
      <c r="D20" s="79">
        <f>+SUM(D18:D19)</f>
        <v>1387.97822</v>
      </c>
      <c r="E20" s="80">
        <f>+SUM(E18:E19)</f>
        <v>1377.2218250000003</v>
      </c>
    </row>
    <row r="22" spans="1:11" ht="13.5" thickBot="1" x14ac:dyDescent="0.25"/>
    <row r="23" spans="1:11" x14ac:dyDescent="0.2">
      <c r="A23" s="46"/>
      <c r="B23" s="46"/>
      <c r="C23" s="46"/>
      <c r="D23" s="46"/>
      <c r="E23" s="46"/>
      <c r="I23" s="38"/>
      <c r="J23" s="56"/>
    </row>
    <row r="24" spans="1:11" ht="13.5" thickBot="1" x14ac:dyDescent="0.25">
      <c r="A24" s="38"/>
      <c r="B24" s="38"/>
      <c r="C24" s="38"/>
      <c r="D24" s="38"/>
      <c r="E24" s="38"/>
      <c r="I24" s="38"/>
      <c r="J24" s="56"/>
    </row>
    <row r="25" spans="1:11" x14ac:dyDescent="0.2">
      <c r="A25" s="65" t="s">
        <v>105</v>
      </c>
      <c r="B25" s="66"/>
      <c r="C25" s="66"/>
      <c r="D25" s="66"/>
      <c r="E25" s="67"/>
    </row>
    <row r="26" spans="1:11" x14ac:dyDescent="0.2">
      <c r="A26" s="97"/>
      <c r="B26" s="30"/>
      <c r="C26" s="30"/>
      <c r="D26" s="30"/>
      <c r="E26" s="98"/>
    </row>
    <row r="27" spans="1:11" ht="25.5" x14ac:dyDescent="0.2">
      <c r="A27" s="109" t="s">
        <v>109</v>
      </c>
      <c r="B27" s="47"/>
      <c r="C27" s="57" t="s">
        <v>95</v>
      </c>
      <c r="D27" s="57" t="s">
        <v>96</v>
      </c>
      <c r="E27" s="99" t="s">
        <v>97</v>
      </c>
    </row>
    <row r="28" spans="1:11" ht="14.25" x14ac:dyDescent="0.2">
      <c r="A28" s="70" t="s">
        <v>89</v>
      </c>
      <c r="B28" s="38"/>
      <c r="C28" s="55">
        <f>1245*1.0215</f>
        <v>1271.7675000000002</v>
      </c>
      <c r="D28" s="55">
        <f>1148*1.0215</f>
        <v>1172.682</v>
      </c>
      <c r="E28" s="76">
        <f>1139*1.0215</f>
        <v>1163.4885000000002</v>
      </c>
      <c r="I28" s="34" t="s">
        <v>73</v>
      </c>
    </row>
    <row r="29" spans="1:11" ht="14.25" x14ac:dyDescent="0.2">
      <c r="A29" s="70" t="s">
        <v>90</v>
      </c>
      <c r="B29" s="38"/>
      <c r="C29" s="55">
        <f>+C28*17%</f>
        <v>216.20047500000004</v>
      </c>
      <c r="D29" s="55">
        <f>+D28*17%</f>
        <v>199.35594</v>
      </c>
      <c r="E29" s="76">
        <f>+E28*17%</f>
        <v>197.79304500000003</v>
      </c>
      <c r="H29" s="31" t="s">
        <v>85</v>
      </c>
      <c r="I29" s="58">
        <f>1000*(1+J9)</f>
        <v>1460</v>
      </c>
      <c r="J29" s="58">
        <f>940*(1+J9)</f>
        <v>1372.3999999999999</v>
      </c>
      <c r="K29" s="58">
        <f>930*(1+J9)</f>
        <v>1357.8</v>
      </c>
    </row>
    <row r="30" spans="1:11" ht="14.25" x14ac:dyDescent="0.2">
      <c r="A30" s="70" t="s">
        <v>117</v>
      </c>
      <c r="B30" s="81" t="s">
        <v>86</v>
      </c>
      <c r="C30" s="55">
        <f>+IF($B30="j",+((127*$C$8*(1+$J$9))/$C$8),0)</f>
        <v>0</v>
      </c>
      <c r="D30" s="55">
        <f>+IF($B30="j",+((112*$D$8*(1+$J$9))/$D$8),0)</f>
        <v>0</v>
      </c>
      <c r="E30" s="76">
        <f>+IF($B30="j",+((112*$E$8*(1+$J$9))/$E$8),0)</f>
        <v>0</v>
      </c>
      <c r="H30" s="31"/>
      <c r="I30" s="58"/>
      <c r="J30" s="58"/>
      <c r="K30" s="58"/>
    </row>
    <row r="31" spans="1:11" x14ac:dyDescent="0.2">
      <c r="A31" s="100" t="s">
        <v>6</v>
      </c>
      <c r="B31" s="35"/>
      <c r="C31" s="48">
        <f>+SUM(C28:C30)</f>
        <v>1487.9679750000003</v>
      </c>
      <c r="D31" s="48">
        <f>+SUM(D28:D30)</f>
        <v>1372.0379399999999</v>
      </c>
      <c r="E31" s="69">
        <f>+SUM(E28:E30)</f>
        <v>1361.2815450000003</v>
      </c>
    </row>
    <row r="32" spans="1:11" x14ac:dyDescent="0.2">
      <c r="A32" s="101"/>
      <c r="B32" s="38"/>
      <c r="C32" s="49"/>
      <c r="D32" s="49"/>
      <c r="E32" s="71"/>
    </row>
    <row r="33" spans="1:5" ht="25.5" x14ac:dyDescent="0.2">
      <c r="A33" s="109" t="s">
        <v>110</v>
      </c>
      <c r="B33" s="47"/>
      <c r="C33" s="57" t="s">
        <v>95</v>
      </c>
      <c r="D33" s="57" t="s">
        <v>96</v>
      </c>
      <c r="E33" s="99" t="s">
        <v>97</v>
      </c>
    </row>
    <row r="34" spans="1:5" x14ac:dyDescent="0.2">
      <c r="A34" s="70" t="s">
        <v>74</v>
      </c>
      <c r="B34" s="81" t="s">
        <v>121</v>
      </c>
      <c r="C34" s="55">
        <f>IF(B34="j",12*(1+$J$7)*(1+$J$9),0)</f>
        <v>19.128336000000001</v>
      </c>
      <c r="D34" s="55">
        <f>IF(B34="j",10*(1+$J$7)*(1+$J$9),0)</f>
        <v>15.940280000000001</v>
      </c>
      <c r="E34" s="76">
        <f>IF(B34="j",10*(1+$J$7)*(1+$J$9),0)</f>
        <v>15.940280000000001</v>
      </c>
    </row>
    <row r="35" spans="1:5" x14ac:dyDescent="0.2">
      <c r="A35" s="70" t="s">
        <v>99</v>
      </c>
      <c r="B35" s="54"/>
      <c r="C35" s="49" t="s">
        <v>7</v>
      </c>
      <c r="D35" s="49" t="s">
        <v>7</v>
      </c>
      <c r="E35" s="71" t="s">
        <v>7</v>
      </c>
    </row>
    <row r="36" spans="1:5" x14ac:dyDescent="0.2">
      <c r="A36" s="70" t="s">
        <v>100</v>
      </c>
      <c r="B36" s="54"/>
      <c r="C36" s="49" t="s">
        <v>7</v>
      </c>
      <c r="D36" s="49" t="s">
        <v>7</v>
      </c>
      <c r="E36" s="71" t="s">
        <v>7</v>
      </c>
    </row>
    <row r="37" spans="1:5" x14ac:dyDescent="0.2">
      <c r="A37" s="70" t="s">
        <v>101</v>
      </c>
      <c r="B37" s="54"/>
      <c r="C37" s="49" t="s">
        <v>7</v>
      </c>
      <c r="D37" s="49" t="s">
        <v>7</v>
      </c>
      <c r="E37" s="71" t="s">
        <v>7</v>
      </c>
    </row>
    <row r="38" spans="1:5" x14ac:dyDescent="0.2">
      <c r="A38" s="70" t="s">
        <v>108</v>
      </c>
      <c r="B38" s="54"/>
      <c r="C38" s="49" t="s">
        <v>7</v>
      </c>
      <c r="D38" s="49" t="s">
        <v>7</v>
      </c>
      <c r="E38" s="71" t="s">
        <v>7</v>
      </c>
    </row>
    <row r="39" spans="1:5" x14ac:dyDescent="0.2">
      <c r="A39" s="70" t="s">
        <v>24</v>
      </c>
      <c r="B39" s="54"/>
      <c r="C39" s="49" t="s">
        <v>7</v>
      </c>
      <c r="D39" s="49" t="s">
        <v>7</v>
      </c>
      <c r="E39" s="71" t="s">
        <v>7</v>
      </c>
    </row>
    <row r="40" spans="1:5" x14ac:dyDescent="0.2">
      <c r="A40" s="100" t="s">
        <v>122</v>
      </c>
      <c r="B40" s="35"/>
      <c r="C40" s="48">
        <f>+SUM(C34:C39)</f>
        <v>19.128336000000001</v>
      </c>
      <c r="D40" s="48">
        <f>+SUM(D34:D39)</f>
        <v>15.940280000000001</v>
      </c>
      <c r="E40" s="69">
        <f>+SUM(E34:E39)</f>
        <v>15.940280000000001</v>
      </c>
    </row>
    <row r="41" spans="1:5" x14ac:dyDescent="0.2">
      <c r="A41" s="101"/>
      <c r="B41" s="39"/>
      <c r="C41" s="38"/>
      <c r="D41" s="38"/>
      <c r="E41" s="102"/>
    </row>
    <row r="42" spans="1:5" ht="25.5" x14ac:dyDescent="0.2">
      <c r="A42" s="110" t="s">
        <v>118</v>
      </c>
      <c r="B42" s="59" t="s">
        <v>8</v>
      </c>
      <c r="C42" s="57" t="s">
        <v>95</v>
      </c>
      <c r="D42" s="57" t="s">
        <v>96</v>
      </c>
      <c r="E42" s="99" t="s">
        <v>97</v>
      </c>
    </row>
    <row r="43" spans="1:5" x14ac:dyDescent="0.2">
      <c r="A43" s="103" t="s">
        <v>9</v>
      </c>
      <c r="B43" s="104"/>
      <c r="C43" s="105">
        <f>+IF($B$30="j",0,+IF($B43="A",'rekenblad (verbergen)'!E22,0)+IF($B43="B",'rekenblad (verbergen)'!D22,0)+IF($B43="C",'rekenblad (verbergen)'!C22,0))</f>
        <v>0</v>
      </c>
      <c r="D43" s="105">
        <f>+IF($B$30="j",0,+IF($B43="A",'rekenblad (verbergen)'!I22,0)+IF($B43="B",'rekenblad (verbergen)'!H22,0)+IF($B43="C",'rekenblad (verbergen)'!G22,0))</f>
        <v>0</v>
      </c>
      <c r="E43" s="106">
        <f>+IF($B$30="j",0,+IF($B43="A",'rekenblad (verbergen)'!M22,0)+IF($B43="B",'rekenblad (verbergen)'!L22,0)+IF($B43="C",'rekenblad (verbergen)'!K22,0))</f>
        <v>0</v>
      </c>
    </row>
    <row r="44" spans="1:5" x14ac:dyDescent="0.2">
      <c r="A44" s="103" t="s">
        <v>10</v>
      </c>
      <c r="B44" s="104"/>
      <c r="C44" s="105">
        <f>+IF($B44="A",'rekenblad (verbergen)'!E27,0)+IF($B44="B",'rekenblad (verbergen)'!D27,0)+IF($B44="C",'rekenblad (verbergen)'!C27,0)</f>
        <v>0</v>
      </c>
      <c r="D44" s="105">
        <f>+IF($B44="A",'rekenblad (verbergen)'!I27,0)+IF($B44="B",'rekenblad (verbergen)'!H27,0)+IF($B44="C",'rekenblad (verbergen)'!G27,0)</f>
        <v>0</v>
      </c>
      <c r="E44" s="106">
        <f>+IF($B44="A",'rekenblad (verbergen)'!M27,0)+IF($B44="B",'rekenblad (verbergen)'!L27,0)+IF($B44="C",'rekenblad (verbergen)'!K27,0)</f>
        <v>0</v>
      </c>
    </row>
    <row r="45" spans="1:5" x14ac:dyDescent="0.2">
      <c r="A45" s="103" t="s">
        <v>11</v>
      </c>
      <c r="B45" s="104"/>
      <c r="C45" s="105">
        <f>+IF($B45="A",'rekenblad (verbergen)'!E39,0)+IF($B45="B",'rekenblad (verbergen)'!D39,0)+IF($B45="C",'rekenblad (verbergen)'!C39,0)</f>
        <v>0</v>
      </c>
      <c r="D45" s="105">
        <f>+IF($B45="A",'rekenblad (verbergen)'!I39,0)+IF($B45="B",'rekenblad (verbergen)'!H39,0)+IF($B45="C",'rekenblad (verbergen)'!G39,0)</f>
        <v>0</v>
      </c>
      <c r="E45" s="106">
        <f>+IF($B45="A",'rekenblad (verbergen)'!M39,0)+IF($B45="B",'rekenblad (verbergen)'!L39,0)+IF($B45="C",'rekenblad (verbergen)'!K39,0)</f>
        <v>0</v>
      </c>
    </row>
    <row r="46" spans="1:5" x14ac:dyDescent="0.2">
      <c r="A46" s="103" t="s">
        <v>12</v>
      </c>
      <c r="B46" s="104"/>
      <c r="C46" s="105">
        <f>+IF($B46="A",'rekenblad (verbergen)'!E45,0)+IF($B46="B",'rekenblad (verbergen)'!D45,0)+IF($B46="C",'rekenblad (verbergen)'!C45,0)</f>
        <v>0</v>
      </c>
      <c r="D46" s="105">
        <f>+IF($B46="A",'rekenblad (verbergen)'!I45,0)+IF($B46="B",'rekenblad (verbergen)'!H45,0)+IF($B46="C",'rekenblad (verbergen)'!G45,0)</f>
        <v>0</v>
      </c>
      <c r="E46" s="106">
        <f>+IF($B46="A",'rekenblad (verbergen)'!M45,0)+IF($B46="B",'rekenblad (verbergen)'!L45,0)+IF($B46="C",'rekenblad (verbergen)'!K45,0)</f>
        <v>0</v>
      </c>
    </row>
    <row r="47" spans="1:5" x14ac:dyDescent="0.2">
      <c r="A47" s="103" t="s">
        <v>13</v>
      </c>
      <c r="B47" s="104"/>
      <c r="C47" s="105">
        <f>+IF($B47="A",'rekenblad (verbergen)'!E51,0)+IF($B47="B",'rekenblad (verbergen)'!D51,0)+IF($B47="C",'rekenblad (verbergen)'!C51,0)</f>
        <v>0</v>
      </c>
      <c r="D47" s="105">
        <f>+IF($B47="A",'rekenblad (verbergen)'!I51,0)+IF($B47="B",'rekenblad (verbergen)'!H51,0)+IF($B47="C",'rekenblad (verbergen)'!G51,0)</f>
        <v>0</v>
      </c>
      <c r="E47" s="106">
        <f>+IF($B47="A",'rekenblad (verbergen)'!M51,0)+IF($B47="B",'rekenblad (verbergen)'!L51,0)+IF($B47="C",'rekenblad (verbergen)'!K51,0)</f>
        <v>0</v>
      </c>
    </row>
    <row r="48" spans="1:5" x14ac:dyDescent="0.2">
      <c r="A48" s="107" t="s">
        <v>14</v>
      </c>
      <c r="B48" s="60"/>
      <c r="C48" s="61">
        <f>+SUM(C43:C47)</f>
        <v>0</v>
      </c>
      <c r="D48" s="61">
        <f>+SUM(D43:D47)</f>
        <v>0</v>
      </c>
      <c r="E48" s="108">
        <f>+SUM(E43:E47)</f>
        <v>0</v>
      </c>
    </row>
    <row r="49" spans="1:5" x14ac:dyDescent="0.2">
      <c r="A49" s="101"/>
      <c r="B49" s="38"/>
      <c r="C49" s="38"/>
      <c r="D49" s="38"/>
      <c r="E49" s="102"/>
    </row>
    <row r="50" spans="1:5" ht="25.5" x14ac:dyDescent="0.2">
      <c r="A50" s="109" t="s">
        <v>111</v>
      </c>
      <c r="B50" s="57" t="s">
        <v>15</v>
      </c>
      <c r="C50" s="57" t="s">
        <v>95</v>
      </c>
      <c r="D50" s="57" t="s">
        <v>96</v>
      </c>
      <c r="E50" s="99" t="s">
        <v>97</v>
      </c>
    </row>
    <row r="51" spans="1:5" x14ac:dyDescent="0.2">
      <c r="A51" s="70" t="s">
        <v>16</v>
      </c>
      <c r="B51" s="81" t="s">
        <v>86</v>
      </c>
      <c r="C51" s="55">
        <f>+IF($B51="j",+((15*'rekenblad (verbergen)'!$C$13*(1+$J$8)*(1+$J$9))/$C$8),0)</f>
        <v>0</v>
      </c>
      <c r="D51" s="55">
        <f>+IF($B51="j",+((15*'rekenblad (verbergen)'!$G$13*(1+$J$8)*(1+$J$9))/$D$8),0)</f>
        <v>0</v>
      </c>
      <c r="E51" s="76">
        <f>+IF($B51="j",+((15*'rekenblad (verbergen)'!$K$13*(1+$J$8)*(1+$J$9))/$E$8),0)</f>
        <v>0</v>
      </c>
    </row>
    <row r="52" spans="1:5" x14ac:dyDescent="0.2">
      <c r="A52" s="70" t="s">
        <v>17</v>
      </c>
      <c r="B52" s="81" t="s">
        <v>86</v>
      </c>
      <c r="C52" s="55">
        <f>+IF($B52="j",+((12*$C$8*0.75*(1+$J$8)*(1+$J$9))/$C$8),0)</f>
        <v>0</v>
      </c>
      <c r="D52" s="55">
        <f>+IF($B52="j",+((12*$D$8*0.75*(1+$J$8)*(1+$J$9))/$D$8),0)</f>
        <v>0</v>
      </c>
      <c r="E52" s="76">
        <f>+IF($B52="j",+((12*$E$8*0.75*(1+$J$8)*(1+$J$9))/$E$8),0)</f>
        <v>0</v>
      </c>
    </row>
    <row r="53" spans="1:5" x14ac:dyDescent="0.2">
      <c r="A53" s="70" t="s">
        <v>18</v>
      </c>
      <c r="B53" s="81" t="s">
        <v>86</v>
      </c>
      <c r="C53" s="55">
        <f>+IF($B53="j",+((11.5*('rekenblad (verbergen)'!$C$14-'rekenblad (verbergen)'!$C$15)*2*0.75*(1+$J$8)*(1+$J$9))/$C$8),0)</f>
        <v>0</v>
      </c>
      <c r="D53" s="55">
        <f>+IF($B53="j",+((11.5*('rekenblad (verbergen)'!$G$14-'rekenblad (verbergen)'!$G$15)*2*0.75*(1+$J$8)*(1+$J$9))/$D$8),0)</f>
        <v>0</v>
      </c>
      <c r="E53" s="76">
        <f>+IF($B53="j",+((11.5*('rekenblad (verbergen)'!$K$14-'rekenblad (verbergen)'!$K$15)*2*0.75*(1+$J$8)*(1+$J$9))/$E$8),0)</f>
        <v>0</v>
      </c>
    </row>
    <row r="54" spans="1:5" ht="14.25" x14ac:dyDescent="0.2">
      <c r="A54" s="70" t="s">
        <v>119</v>
      </c>
      <c r="B54" s="81" t="s">
        <v>86</v>
      </c>
      <c r="C54" s="55">
        <f>+IF($B54="j",+(20*(1+$J$7)*(1+$J$9)),0)</f>
        <v>0</v>
      </c>
      <c r="D54" s="55">
        <f t="shared" ref="D54:E54" si="0">+IF($B54="j",+(20*(1+$J$7)*(1+$J$9)),0)</f>
        <v>0</v>
      </c>
      <c r="E54" s="76">
        <f t="shared" si="0"/>
        <v>0</v>
      </c>
    </row>
    <row r="55" spans="1:5" ht="14.25" x14ac:dyDescent="0.2">
      <c r="A55" s="70" t="s">
        <v>120</v>
      </c>
      <c r="B55" s="81" t="s">
        <v>86</v>
      </c>
      <c r="C55" s="55">
        <f>+IF($B55="j",+((250*'rekenblad (verbergen)'!$C$16*0.1*(1+$J$8)*(1+$J$9))/$C$8),0)</f>
        <v>0</v>
      </c>
      <c r="D55" s="55">
        <f>+IF($B55="j",+((250*'rekenblad (verbergen)'!$G$16*0.1*(1+$J$8)*(1+$J$9))/$D$8),0)</f>
        <v>0</v>
      </c>
      <c r="E55" s="76">
        <f>+IF($B55="j",+((250*'rekenblad (verbergen)'!$K$16*0.1*(1+$J$8)*(1+$J$9))/$E$8),0)</f>
        <v>0</v>
      </c>
    </row>
    <row r="56" spans="1:5" x14ac:dyDescent="0.2">
      <c r="A56" s="100" t="s">
        <v>102</v>
      </c>
      <c r="B56" s="35"/>
      <c r="C56" s="48">
        <f>+SUM(C51:C55)</f>
        <v>0</v>
      </c>
      <c r="D56" s="48">
        <f>+SUM(D51:D55)</f>
        <v>0</v>
      </c>
      <c r="E56" s="69">
        <f>+SUM(E51:E55)</f>
        <v>0</v>
      </c>
    </row>
    <row r="57" spans="1:5" x14ac:dyDescent="0.2">
      <c r="A57" s="101"/>
      <c r="B57" s="38"/>
      <c r="C57" s="38"/>
      <c r="D57" s="38"/>
      <c r="E57" s="102"/>
    </row>
    <row r="58" spans="1:5" ht="25.5" x14ac:dyDescent="0.2">
      <c r="A58" s="109" t="s">
        <v>112</v>
      </c>
      <c r="B58" s="57" t="s">
        <v>15</v>
      </c>
      <c r="C58" s="57" t="s">
        <v>95</v>
      </c>
      <c r="D58" s="57" t="s">
        <v>96</v>
      </c>
      <c r="E58" s="99" t="s">
        <v>97</v>
      </c>
    </row>
    <row r="59" spans="1:5" ht="15.75" x14ac:dyDescent="0.3">
      <c r="A59" s="70" t="s">
        <v>91</v>
      </c>
      <c r="B59" s="81" t="s">
        <v>86</v>
      </c>
      <c r="C59" s="55">
        <f>+IF($B59="j",+((3*'rekenblad (verbergen)'!$C$12*(1+$J$8)*(1+$J$9))/$C$8),0)</f>
        <v>0</v>
      </c>
      <c r="D59" s="55">
        <f>+IF($B59="j",+((3*'rekenblad (verbergen)'!$G$12*(1+$J$8)*(1+$J$9))/$D$8),0)</f>
        <v>0</v>
      </c>
      <c r="E59" s="76">
        <f>+IF($B59="j",+((3*'rekenblad (verbergen)'!$K$12*(1+$J$8)*(1+$J$9))/$E$8),0)</f>
        <v>0</v>
      </c>
    </row>
    <row r="60" spans="1:5" x14ac:dyDescent="0.2">
      <c r="A60" s="70" t="s">
        <v>72</v>
      </c>
      <c r="B60" s="81" t="s">
        <v>86</v>
      </c>
      <c r="C60" s="55">
        <f>+IF($B60="j",+((3.18*3*('rekenblad (verbergen)'!$C$12-'rekenblad (verbergen)'!$C$13)*(1+$J$8)*(1+$J$9))/$C$8),0)</f>
        <v>0</v>
      </c>
      <c r="D60" s="55">
        <f>+IF($B60="j",+((3.18*3*('rekenblad (verbergen)'!$G$12-'rekenblad (verbergen)'!$G$13)*(1+$J$8)*(1+$J$9))/$D$8),0)</f>
        <v>0</v>
      </c>
      <c r="E60" s="76">
        <f>+IF($B60="j",+((3.18*3*('rekenblad (verbergen)'!$K$12-'rekenblad (verbergen)'!$K$13)*(1+$J$8)*(1+$J$9))/$E$8),0)</f>
        <v>0</v>
      </c>
    </row>
    <row r="61" spans="1:5" x14ac:dyDescent="0.2">
      <c r="A61" s="70" t="s">
        <v>21</v>
      </c>
      <c r="B61" s="81" t="s">
        <v>86</v>
      </c>
      <c r="C61" s="55">
        <f>+IF($B61="j",+((61.5*'rekenblad (verbergen)'!$C$13*(1+$J$8)*(1+$J$9))/$C$8),0)</f>
        <v>0</v>
      </c>
      <c r="D61" s="55">
        <f>+IF($B61="j",+((61.5*'rekenblad (verbergen)'!$G$13*(1+$J$8)*(1+$J$9))/$D$8),0)</f>
        <v>0</v>
      </c>
      <c r="E61" s="76">
        <f>+IF($B61="j",+((61.5*'rekenblad (verbergen)'!$K$13*(1+$J$8)*(1+$J$9))/$E$8),0)</f>
        <v>0</v>
      </c>
    </row>
    <row r="62" spans="1:5" x14ac:dyDescent="0.2">
      <c r="A62" s="70" t="s">
        <v>23</v>
      </c>
      <c r="B62" s="81" t="s">
        <v>86</v>
      </c>
      <c r="C62" s="55">
        <f>+IF($B62="j",+((75*('rekenblad (verbergen)'!$C$12-'rekenblad (verbergen)'!$C$13)*(1+$J$8)*(1+$J$9))/$C$8),0)</f>
        <v>0</v>
      </c>
      <c r="D62" s="55">
        <f>+IF($B62="j",+((75*('rekenblad (verbergen)'!$G$12-'rekenblad (verbergen)'!$G$13)*(1+$J$8)*(1+$J$9))/$D$8),0)</f>
        <v>0</v>
      </c>
      <c r="E62" s="76">
        <f>+IF($B62="j",+((75*('rekenblad (verbergen)'!$K$12-'rekenblad (verbergen)'!$K$13)*(1+$J$8)*(1+$J$9))/$E$8),0)</f>
        <v>0</v>
      </c>
    </row>
    <row r="63" spans="1:5" x14ac:dyDescent="0.2">
      <c r="A63" s="70" t="s">
        <v>19</v>
      </c>
      <c r="B63" s="81" t="s">
        <v>86</v>
      </c>
      <c r="C63" s="55">
        <f>+IF($B63="j",+((39.5*'rekenblad (verbergen)'!$C$16*(1+$J$8)*(1+$J$9))/$C$8),0)</f>
        <v>0</v>
      </c>
      <c r="D63" s="55">
        <f>+IF($B63="j",+((39.5*'rekenblad (verbergen)'!$G$16*(1+$J$8)*(1+$J$9))/$D$8),0)</f>
        <v>0</v>
      </c>
      <c r="E63" s="76">
        <f>+IF($B63="j",+((39.5*'rekenblad (verbergen)'!$K$16*(1+$J$8)*(1+$J$9))/$E$8),0)</f>
        <v>0</v>
      </c>
    </row>
    <row r="64" spans="1:5" x14ac:dyDescent="0.2">
      <c r="A64" s="70" t="s">
        <v>22</v>
      </c>
      <c r="B64" s="81" t="s">
        <v>86</v>
      </c>
      <c r="C64" s="55">
        <f>+IF($B64="j",+((3.75*4*'rekenblad (verbergen)'!$C$16*(1+$J$8)*(1+$J$9))/$C$8),0)</f>
        <v>0</v>
      </c>
      <c r="D64" s="55">
        <f>+IF($B64="j",+((3.75*4*'rekenblad (verbergen)'!$G$16*(1+$J$8)*(1+$J$9))/$D$8),0)</f>
        <v>0</v>
      </c>
      <c r="E64" s="76">
        <f>+IF($B64="j",+((3.75*4*'rekenblad (verbergen)'!$K$16*(1+$J$8)*(1+$J$9))/$E$8),0)</f>
        <v>0</v>
      </c>
    </row>
    <row r="65" spans="1:5" x14ac:dyDescent="0.2">
      <c r="A65" s="100" t="s">
        <v>103</v>
      </c>
      <c r="B65" s="35"/>
      <c r="C65" s="48">
        <f>+SUM(C59:C64)</f>
        <v>0</v>
      </c>
      <c r="D65" s="48">
        <f>+SUM(D59:D64)</f>
        <v>0</v>
      </c>
      <c r="E65" s="69">
        <f>+SUM(E59:E64)</f>
        <v>0</v>
      </c>
    </row>
    <row r="66" spans="1:5" x14ac:dyDescent="0.2">
      <c r="A66" s="101"/>
      <c r="B66" s="38"/>
      <c r="C66" s="38"/>
      <c r="D66" s="38"/>
      <c r="E66" s="102"/>
    </row>
    <row r="67" spans="1:5" ht="25.5" x14ac:dyDescent="0.2">
      <c r="A67" s="109" t="s">
        <v>113</v>
      </c>
      <c r="B67" s="57" t="s">
        <v>15</v>
      </c>
      <c r="C67" s="57" t="s">
        <v>95</v>
      </c>
      <c r="D67" s="57" t="s">
        <v>96</v>
      </c>
      <c r="E67" s="99" t="s">
        <v>97</v>
      </c>
    </row>
    <row r="68" spans="1:5" x14ac:dyDescent="0.2">
      <c r="A68" s="70" t="s">
        <v>76</v>
      </c>
      <c r="B68" s="81" t="s">
        <v>86</v>
      </c>
      <c r="C68" s="55">
        <f>+IF($B68="j",+((('rekenblad (verbergen)'!$C$15/'rekenblad (verbergen)'!$D$15*0.18-'rekenblad (verbergen)'!$C$15)*240*(1+$J$8)*(1+$J$9))/$C$8),0)</f>
        <v>0</v>
      </c>
      <c r="D68" s="55">
        <f>+IF($B68="j",+((('rekenblad (verbergen)'!$G$15/'rekenblad (verbergen)'!$H$15*0.18-'rekenblad (verbergen)'!$G$15)*240*(1+$J$8)*(1+$J$9))/$D$8),0)</f>
        <v>0</v>
      </c>
      <c r="E68" s="76">
        <f>+IF($B68="j",+((('rekenblad (verbergen)'!$K$15/'rekenblad (verbergen)'!$L$15*0.18-'rekenblad (verbergen)'!$K$15)*240*(1+$J$8)*(1+$J$9))/$E$8),0)</f>
        <v>0</v>
      </c>
    </row>
    <row r="69" spans="1:5" x14ac:dyDescent="0.2">
      <c r="A69" s="70" t="s">
        <v>75</v>
      </c>
      <c r="B69" s="81" t="s">
        <v>86</v>
      </c>
      <c r="C69" s="55">
        <f>+IF($B69="j",+((50*420*(1+$J$8)*(1+$J$9))/$C$8),0)</f>
        <v>0</v>
      </c>
      <c r="D69" s="55">
        <f>+IF($B69="j",+((50*420*(1+$J$8)*(1+$J$9))/$D$8),0)</f>
        <v>0</v>
      </c>
      <c r="E69" s="76">
        <f>+IF($B69="j",+((50*420*(1+$J$8)*(1+$J$9))/$E$8),0)</f>
        <v>0</v>
      </c>
    </row>
    <row r="70" spans="1:5" x14ac:dyDescent="0.2">
      <c r="A70" s="70" t="s">
        <v>20</v>
      </c>
      <c r="B70" s="81" t="s">
        <v>86</v>
      </c>
      <c r="C70" s="55">
        <f>+IF($B70="j",+(('rekenblad (verbergen)'!$C$13*0.75*25*(1+$J$8)*(1+$J$9))/$C$8),0)</f>
        <v>0</v>
      </c>
      <c r="D70" s="55">
        <f>+IF($B70="j",+(('rekenblad (verbergen)'!$G$13*0.75*25*(1+$J$8)*(1+$J$9))/$D$8),0)</f>
        <v>0</v>
      </c>
      <c r="E70" s="76">
        <f>+IF($B70="j",+(('rekenblad (verbergen)'!$K$13*0.75*25*(1+$J$8)*(1+$J$9))/$E$8),0)</f>
        <v>0</v>
      </c>
    </row>
    <row r="71" spans="1:5" ht="13.5" thickBot="1" x14ac:dyDescent="0.25">
      <c r="A71" s="82" t="s">
        <v>104</v>
      </c>
      <c r="B71" s="83"/>
      <c r="C71" s="84">
        <f>+SUM(C68:C70)</f>
        <v>0</v>
      </c>
      <c r="D71" s="84">
        <f>+SUM(D68:D70)</f>
        <v>0</v>
      </c>
      <c r="E71" s="85">
        <f>+SUM(E68:E70)</f>
        <v>0</v>
      </c>
    </row>
    <row r="72" spans="1:5" ht="13.5" thickBot="1" x14ac:dyDescent="0.25">
      <c r="A72" s="62"/>
      <c r="B72" s="62"/>
      <c r="C72" s="62"/>
      <c r="D72" s="62"/>
      <c r="E72" s="62"/>
    </row>
    <row r="74" spans="1:5" ht="14.25" x14ac:dyDescent="0.2">
      <c r="A74" s="32" t="s">
        <v>92</v>
      </c>
    </row>
    <row r="75" spans="1:5" ht="14.25" x14ac:dyDescent="0.2">
      <c r="A75" s="32" t="s">
        <v>78</v>
      </c>
    </row>
    <row r="76" spans="1:5" ht="14.25" x14ac:dyDescent="0.2">
      <c r="A76" s="32" t="s">
        <v>114</v>
      </c>
    </row>
    <row r="77" spans="1:5" ht="14.25" x14ac:dyDescent="0.2">
      <c r="A77" s="32" t="s">
        <v>115</v>
      </c>
    </row>
    <row r="78" spans="1:5" ht="14.25" x14ac:dyDescent="0.2">
      <c r="A78" s="32" t="s">
        <v>116</v>
      </c>
    </row>
  </sheetData>
  <sheetProtection password="E6CE" sheet="1" objects="1" scenarios="1"/>
  <protectedRanges>
    <protectedRange sqref="B19 B30 B43:B47 B51:B55 B59:B64 B68:B70 B34" name="grijze cellen"/>
  </protectedRange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Q57"/>
  <sheetViews>
    <sheetView zoomScaleNormal="100" workbookViewId="0"/>
  </sheetViews>
  <sheetFormatPr defaultRowHeight="12.75" x14ac:dyDescent="0.2"/>
  <cols>
    <col min="1" max="1" width="40.140625" customWidth="1"/>
    <col min="2" max="2" width="5.7109375" customWidth="1"/>
    <col min="3" max="5" width="10.7109375" customWidth="1"/>
    <col min="6" max="6" width="2.7109375" customWidth="1"/>
    <col min="7" max="9" width="10.7109375" customWidth="1"/>
    <col min="10" max="10" width="2.7109375" customWidth="1"/>
    <col min="11" max="13" width="10.7109375" customWidth="1"/>
    <col min="14" max="14" width="2.7109375" customWidth="1"/>
    <col min="15" max="15" width="42.5703125" bestFit="1" customWidth="1"/>
  </cols>
  <sheetData>
    <row r="1" spans="1:17" x14ac:dyDescent="0.2">
      <c r="A1" s="3" t="s">
        <v>25</v>
      </c>
    </row>
    <row r="4" spans="1:17" x14ac:dyDescent="0.2">
      <c r="A4" t="str">
        <f>+'kostenconfigurator VO'!A6</f>
        <v>Voortgezet Onderwijs:</v>
      </c>
      <c r="C4" s="111" t="str">
        <f>+'kostenconfigurator VO'!C6</f>
        <v>vmbo</v>
      </c>
      <c r="D4" s="112"/>
      <c r="E4" s="113"/>
      <c r="G4" s="111" t="str">
        <f>+'kostenconfigurator VO'!D6</f>
        <v>havo/vwo</v>
      </c>
      <c r="H4" s="112"/>
      <c r="I4" s="113"/>
      <c r="J4" s="6"/>
      <c r="K4" s="111" t="str">
        <f>+'kostenconfigurator VO'!E6</f>
        <v>vmbo/
havo/vwo</v>
      </c>
      <c r="L4" s="112"/>
      <c r="M4" s="113"/>
      <c r="O4" s="18" t="str">
        <f>+'kostenconfigurator VO'!I6</f>
        <v>opslagpercentages:</v>
      </c>
    </row>
    <row r="5" spans="1:17" x14ac:dyDescent="0.2">
      <c r="A5" t="str">
        <f>+'kostenconfigurator VO'!A7</f>
        <v>Uitgangspunt bouwlagen:</v>
      </c>
      <c r="C5" s="1">
        <f>+'kostenconfigurator VO'!C7</f>
        <v>2</v>
      </c>
      <c r="D5" s="1"/>
      <c r="E5" s="1"/>
      <c r="F5" s="1"/>
      <c r="G5" s="1">
        <f>+'kostenconfigurator VO'!D7</f>
        <v>3</v>
      </c>
      <c r="H5" s="1"/>
      <c r="I5" s="1"/>
      <c r="J5" s="1"/>
      <c r="K5" s="1">
        <f>+'kostenconfigurator VO'!E7</f>
        <v>3</v>
      </c>
      <c r="O5" t="str">
        <f>+'kostenconfigurator VO'!I7</f>
        <v>installaties</v>
      </c>
      <c r="P5" s="17">
        <f>+'kostenconfigurator VO'!J7</f>
        <v>9.1800000000000104E-2</v>
      </c>
    </row>
    <row r="6" spans="1:17" x14ac:dyDescent="0.2">
      <c r="A6" t="str">
        <f>+'kostenconfigurator VO'!A8</f>
        <v>Uitgangspunt brutovloeroppervlak (BVO) [m²]:</v>
      </c>
      <c r="C6" s="1">
        <f>+'kostenconfigurator VO'!C8</f>
        <v>5000</v>
      </c>
      <c r="D6" s="1"/>
      <c r="E6" s="1"/>
      <c r="F6" s="1"/>
      <c r="G6" s="1">
        <f>+'kostenconfigurator VO'!D8</f>
        <v>8000</v>
      </c>
      <c r="H6" s="1"/>
      <c r="I6" s="1"/>
      <c r="J6" s="1"/>
      <c r="K6" s="1">
        <f>+'kostenconfigurator VO'!E8</f>
        <v>13000</v>
      </c>
      <c r="O6" t="str">
        <f>+'kostenconfigurator VO'!I8</f>
        <v>bouwkundig</v>
      </c>
      <c r="P6" s="17">
        <f>+'kostenconfigurator VO'!J8</f>
        <v>0.19006200000000018</v>
      </c>
    </row>
    <row r="7" spans="1:17" x14ac:dyDescent="0.2">
      <c r="C7" s="1"/>
      <c r="D7" s="1"/>
      <c r="E7" s="1"/>
      <c r="F7" s="1"/>
      <c r="G7" s="1"/>
      <c r="H7" s="1"/>
      <c r="I7" s="1"/>
      <c r="J7" s="1"/>
      <c r="K7" s="1"/>
      <c r="O7" t="str">
        <f>+'kostenconfigurator VO'!I9</f>
        <v>investeringskosten incl. BTW</v>
      </c>
      <c r="P7" s="17">
        <f>+'kostenconfigurator VO'!J9</f>
        <v>0.46</v>
      </c>
      <c r="Q7" s="4" t="str">
        <f>+'kostenconfigurator VO'!K9</f>
        <v>(bevat honoraria, leges, prijsstijgingen, btw)</v>
      </c>
    </row>
    <row r="8" spans="1:17" x14ac:dyDescent="0.2">
      <c r="A8" s="11" t="s">
        <v>38</v>
      </c>
      <c r="B8" s="12"/>
      <c r="C8" s="13" t="s">
        <v>40</v>
      </c>
      <c r="D8" s="13" t="s">
        <v>39</v>
      </c>
      <c r="E8" s="13"/>
      <c r="F8" s="13"/>
      <c r="G8" s="13" t="s">
        <v>40</v>
      </c>
      <c r="H8" s="13" t="s">
        <v>39</v>
      </c>
      <c r="I8" s="13"/>
      <c r="J8" s="13"/>
      <c r="K8" s="13" t="s">
        <v>40</v>
      </c>
      <c r="L8" s="13" t="s">
        <v>39</v>
      </c>
      <c r="M8" s="13"/>
    </row>
    <row r="9" spans="1:17" x14ac:dyDescent="0.2">
      <c r="A9" s="2" t="s">
        <v>27</v>
      </c>
      <c r="B9" t="s">
        <v>26</v>
      </c>
      <c r="C9" s="1">
        <f>+C6/C5</f>
        <v>2500</v>
      </c>
      <c r="D9" s="10">
        <f>+C9/C$6</f>
        <v>0.5</v>
      </c>
      <c r="E9" s="10"/>
      <c r="F9" s="10"/>
      <c r="G9" s="1">
        <f>+G6/G5</f>
        <v>2666.6666666666665</v>
      </c>
      <c r="H9" s="10">
        <f>+G9/G$6</f>
        <v>0.33333333333333331</v>
      </c>
      <c r="I9" s="10"/>
      <c r="J9" s="10"/>
      <c r="K9" s="1">
        <f>+K6/K5</f>
        <v>4333.333333333333</v>
      </c>
      <c r="L9" s="10">
        <f>+K9/K$6</f>
        <v>0.33333333333333331</v>
      </c>
    </row>
    <row r="10" spans="1:17" x14ac:dyDescent="0.2">
      <c r="A10" s="2" t="s">
        <v>28</v>
      </c>
      <c r="B10" t="s">
        <v>26</v>
      </c>
      <c r="C10" s="1">
        <f>+C9</f>
        <v>2500</v>
      </c>
      <c r="D10" s="10">
        <f>+C10/C$6</f>
        <v>0.5</v>
      </c>
      <c r="E10" s="10"/>
      <c r="F10" s="10"/>
      <c r="G10" s="1">
        <f>+G9</f>
        <v>2666.6666666666665</v>
      </c>
      <c r="H10" s="10">
        <f>+G10/G$6</f>
        <v>0.33333333333333331</v>
      </c>
      <c r="I10" s="10"/>
      <c r="J10" s="10"/>
      <c r="K10" s="1">
        <f>+K9</f>
        <v>4333.333333333333</v>
      </c>
      <c r="L10" s="10">
        <f>+K10/K$6</f>
        <v>0.33333333333333331</v>
      </c>
    </row>
    <row r="11" spans="1:17" x14ac:dyDescent="0.2">
      <c r="A11" s="2" t="s">
        <v>29</v>
      </c>
      <c r="B11" t="s">
        <v>30</v>
      </c>
      <c r="C11" s="1">
        <f>+C6*D11</f>
        <v>17000</v>
      </c>
      <c r="D11" s="10">
        <v>3.4</v>
      </c>
      <c r="E11" s="10"/>
      <c r="F11" s="10"/>
      <c r="G11" s="1">
        <f>+G6*H11</f>
        <v>27200</v>
      </c>
      <c r="H11" s="10">
        <v>3.4</v>
      </c>
      <c r="I11" s="10"/>
      <c r="J11" s="10"/>
      <c r="K11" s="1">
        <f>+K6*L11</f>
        <v>44200</v>
      </c>
      <c r="L11" s="10">
        <v>3.4</v>
      </c>
    </row>
    <row r="12" spans="1:17" x14ac:dyDescent="0.2">
      <c r="A12" s="2" t="s">
        <v>31</v>
      </c>
      <c r="B12" t="s">
        <v>26</v>
      </c>
      <c r="C12" s="1">
        <f>D12*C6</f>
        <v>2500</v>
      </c>
      <c r="D12" s="10">
        <v>0.5</v>
      </c>
      <c r="E12" s="10"/>
      <c r="F12" s="10"/>
      <c r="G12" s="1">
        <f>H12*G6</f>
        <v>4000</v>
      </c>
      <c r="H12" s="10">
        <v>0.5</v>
      </c>
      <c r="I12" s="10"/>
      <c r="J12" s="10"/>
      <c r="K12" s="1">
        <f>L12*K6</f>
        <v>6500</v>
      </c>
      <c r="L12" s="10">
        <v>0.5</v>
      </c>
    </row>
    <row r="13" spans="1:17" x14ac:dyDescent="0.2">
      <c r="A13" s="2" t="s">
        <v>32</v>
      </c>
      <c r="B13" t="s">
        <v>26</v>
      </c>
      <c r="C13" s="1">
        <f>+C12*D13</f>
        <v>750</v>
      </c>
      <c r="D13" s="10">
        <v>0.3</v>
      </c>
      <c r="E13" s="10"/>
      <c r="F13" s="10"/>
      <c r="G13" s="1">
        <f>+G12*H13</f>
        <v>1200</v>
      </c>
      <c r="H13" s="10">
        <v>0.3</v>
      </c>
      <c r="I13" s="10"/>
      <c r="J13" s="10"/>
      <c r="K13" s="1">
        <f>+K12*L13</f>
        <v>1950</v>
      </c>
      <c r="L13" s="10">
        <v>0.3</v>
      </c>
    </row>
    <row r="14" spans="1:17" x14ac:dyDescent="0.2">
      <c r="A14" s="2" t="s">
        <v>33</v>
      </c>
      <c r="B14" t="s">
        <v>26</v>
      </c>
      <c r="C14" s="1">
        <f>+C6*D14</f>
        <v>3500</v>
      </c>
      <c r="D14" s="10">
        <v>0.7</v>
      </c>
      <c r="E14" s="10"/>
      <c r="F14" s="10"/>
      <c r="G14" s="1">
        <f>+G6*H14</f>
        <v>6400</v>
      </c>
      <c r="H14" s="10">
        <v>0.8</v>
      </c>
      <c r="I14" s="10"/>
      <c r="J14" s="10"/>
      <c r="K14" s="1">
        <f>+K6*L14</f>
        <v>9750</v>
      </c>
      <c r="L14" s="10">
        <v>0.75</v>
      </c>
    </row>
    <row r="15" spans="1:17" x14ac:dyDescent="0.2">
      <c r="A15" s="2" t="s">
        <v>34</v>
      </c>
      <c r="B15" t="s">
        <v>26</v>
      </c>
      <c r="C15" s="1">
        <f>+C14*D15</f>
        <v>420</v>
      </c>
      <c r="D15" s="10">
        <v>0.12</v>
      </c>
      <c r="E15" s="10"/>
      <c r="F15" s="10"/>
      <c r="G15" s="1">
        <f>+G14*H15</f>
        <v>768</v>
      </c>
      <c r="H15" s="10">
        <v>0.12</v>
      </c>
      <c r="I15" s="10"/>
      <c r="J15" s="10"/>
      <c r="K15" s="1">
        <f>+K14*L15</f>
        <v>1170</v>
      </c>
      <c r="L15" s="10">
        <v>0.12</v>
      </c>
    </row>
    <row r="16" spans="1:17" x14ac:dyDescent="0.2">
      <c r="A16" s="2" t="s">
        <v>35</v>
      </c>
      <c r="B16" t="s">
        <v>26</v>
      </c>
      <c r="C16" s="1">
        <f>+C9*D16</f>
        <v>2500</v>
      </c>
      <c r="D16" s="10">
        <v>1</v>
      </c>
      <c r="E16" s="10"/>
      <c r="F16" s="10"/>
      <c r="G16" s="1">
        <f>+G9*H16</f>
        <v>2666.6666666666665</v>
      </c>
      <c r="H16" s="10">
        <v>1</v>
      </c>
      <c r="I16" s="10"/>
      <c r="J16" s="10"/>
      <c r="K16" s="1">
        <f>+K9*L16</f>
        <v>4333.333333333333</v>
      </c>
      <c r="L16" s="10">
        <v>1</v>
      </c>
    </row>
    <row r="17" spans="1:15" x14ac:dyDescent="0.2">
      <c r="A17" s="2" t="s">
        <v>36</v>
      </c>
      <c r="B17" t="s">
        <v>26</v>
      </c>
      <c r="C17" s="1">
        <v>0.84</v>
      </c>
      <c r="D17" s="10">
        <f>+C17/C16</f>
        <v>3.3599999999999998E-4</v>
      </c>
      <c r="E17" s="10"/>
      <c r="F17" s="10"/>
      <c r="G17" s="1">
        <v>0.84</v>
      </c>
      <c r="H17" s="10">
        <f>+G17/G16</f>
        <v>3.1500000000000001E-4</v>
      </c>
      <c r="I17" s="10"/>
      <c r="J17" s="10"/>
      <c r="K17" s="1">
        <v>0.84</v>
      </c>
      <c r="L17" s="10">
        <f>+K17/K16</f>
        <v>1.9384615384615385E-4</v>
      </c>
    </row>
    <row r="18" spans="1:15" x14ac:dyDescent="0.2">
      <c r="A18" s="2" t="s">
        <v>37</v>
      </c>
      <c r="B18" t="s">
        <v>26</v>
      </c>
      <c r="C18" s="1">
        <f>+C10+600</f>
        <v>3100</v>
      </c>
      <c r="D18" s="10">
        <f>+C18/C10</f>
        <v>1.24</v>
      </c>
      <c r="E18" s="10"/>
      <c r="F18" s="10"/>
      <c r="G18" s="1">
        <f>+G10+600</f>
        <v>3266.6666666666665</v>
      </c>
      <c r="H18" s="10">
        <f>+G18/G10</f>
        <v>1.2250000000000001</v>
      </c>
      <c r="I18" s="10"/>
      <c r="J18" s="10"/>
      <c r="K18" s="1">
        <f>+K10+600</f>
        <v>4933.333333333333</v>
      </c>
      <c r="L18" s="10">
        <f>+K18/K10</f>
        <v>1.1384615384615384</v>
      </c>
    </row>
    <row r="20" spans="1:15" x14ac:dyDescent="0.2">
      <c r="C20" s="111" t="str">
        <f>+C4</f>
        <v>vmbo</v>
      </c>
      <c r="D20" s="112"/>
      <c r="E20" s="113"/>
      <c r="G20" s="111" t="str">
        <f>+G4</f>
        <v>havo/vwo</v>
      </c>
      <c r="H20" s="112"/>
      <c r="I20" s="113"/>
      <c r="K20" s="111" t="str">
        <f>+K4</f>
        <v>vmbo/
havo/vwo</v>
      </c>
      <c r="L20" s="112"/>
      <c r="M20" s="113"/>
    </row>
    <row r="21" spans="1:15" x14ac:dyDescent="0.2">
      <c r="A21" s="7" t="str">
        <f>+'kostenconfigurator VO'!A42</f>
        <v>Programma van Eisen Frisse Scholen4</v>
      </c>
      <c r="B21" s="8"/>
      <c r="C21" s="15" t="s">
        <v>44</v>
      </c>
      <c r="D21" s="15" t="s">
        <v>43</v>
      </c>
      <c r="E21" s="15" t="s">
        <v>42</v>
      </c>
      <c r="F21" s="9"/>
      <c r="G21" s="15" t="s">
        <v>44</v>
      </c>
      <c r="H21" s="15" t="s">
        <v>43</v>
      </c>
      <c r="I21" s="15" t="s">
        <v>42</v>
      </c>
      <c r="J21" s="15"/>
      <c r="K21" s="15" t="s">
        <v>44</v>
      </c>
      <c r="L21" s="15" t="s">
        <v>43</v>
      </c>
      <c r="M21" s="15" t="s">
        <v>42</v>
      </c>
      <c r="O21" s="5"/>
    </row>
    <row r="22" spans="1:15" s="20" customFormat="1" x14ac:dyDescent="0.2">
      <c r="A22" s="21" t="s">
        <v>9</v>
      </c>
      <c r="B22" s="19"/>
      <c r="C22" s="22">
        <f>+SUM(C23:C26)</f>
        <v>1.6752224</v>
      </c>
      <c r="D22" s="22">
        <f>+SUM(D23:D26)</f>
        <v>35.682681199999998</v>
      </c>
      <c r="E22" s="22">
        <f>+SUM(E23:E26)</f>
        <v>85.64148680000001</v>
      </c>
      <c r="F22" s="23"/>
      <c r="G22" s="22">
        <f>+SUM(G23:G26)</f>
        <v>1.1970140000000002</v>
      </c>
      <c r="H22" s="22">
        <f>+SUM(H23:H26)</f>
        <v>34.746189749999999</v>
      </c>
      <c r="I22" s="22">
        <f>+SUM(I23:I26)</f>
        <v>84.585443249999997</v>
      </c>
      <c r="J22" s="22"/>
      <c r="K22" s="22">
        <f>+SUM(K23:K26)</f>
        <v>0.89047015384615391</v>
      </c>
      <c r="L22" s="22">
        <f>+SUM(L23:L26)</f>
        <v>34.370673538461538</v>
      </c>
      <c r="M22" s="22">
        <f>+SUM(M23:M26)</f>
        <v>84.133291076923086</v>
      </c>
      <c r="O22" s="25"/>
    </row>
    <row r="23" spans="1:15" x14ac:dyDescent="0.2">
      <c r="A23" s="14" t="s">
        <v>41</v>
      </c>
      <c r="B23" s="16"/>
      <c r="C23" s="27">
        <v>0</v>
      </c>
      <c r="D23" s="27">
        <f>21*(1+$P$7)</f>
        <v>30.66</v>
      </c>
      <c r="E23" s="27">
        <f>55*(1+$P$7)</f>
        <v>80.3</v>
      </c>
      <c r="F23" s="27"/>
      <c r="G23" s="27">
        <v>0</v>
      </c>
      <c r="H23" s="27">
        <f>21*(1+$P$7)</f>
        <v>30.66</v>
      </c>
      <c r="I23" s="27">
        <f>55*(1+$P$7)</f>
        <v>80.3</v>
      </c>
      <c r="J23" s="27"/>
      <c r="K23" s="27">
        <v>0</v>
      </c>
      <c r="L23" s="27">
        <f>21*(1+$P$7)</f>
        <v>30.66</v>
      </c>
      <c r="M23" s="27">
        <f>55*(1+$P$7)</f>
        <v>80.3</v>
      </c>
      <c r="O23" s="5"/>
    </row>
    <row r="24" spans="1:15" x14ac:dyDescent="0.2">
      <c r="A24" s="14" t="s">
        <v>45</v>
      </c>
      <c r="B24" s="16"/>
      <c r="C24" s="28">
        <v>0</v>
      </c>
      <c r="D24" s="28">
        <v>0</v>
      </c>
      <c r="E24" s="28">
        <v>0</v>
      </c>
      <c r="F24" s="28"/>
      <c r="G24" s="28">
        <v>0</v>
      </c>
      <c r="H24" s="28">
        <v>0</v>
      </c>
      <c r="I24" s="28">
        <v>0</v>
      </c>
      <c r="J24" s="28"/>
      <c r="K24" s="28">
        <v>0</v>
      </c>
      <c r="L24" s="28">
        <v>0</v>
      </c>
      <c r="M24" s="28">
        <v>0</v>
      </c>
      <c r="O24" s="26" t="s">
        <v>79</v>
      </c>
    </row>
    <row r="25" spans="1:15" x14ac:dyDescent="0.2">
      <c r="A25" s="14" t="s">
        <v>46</v>
      </c>
      <c r="B25" s="16"/>
      <c r="C25" s="28">
        <f>(1000*2+2*500+1000)/$C6*(1+$P$5)*(1+$P$7)</f>
        <v>1.2752224000000001</v>
      </c>
      <c r="D25" s="28">
        <f>(1000*8+8*500+2500)/$C6*(1+$P$5)*(1+$P$7)</f>
        <v>4.6226811999999997</v>
      </c>
      <c r="E25" s="28">
        <f>(1000*8+8*500+3500)/$C6*(1+$P$5)*(1+$P$7)</f>
        <v>4.9414868000000007</v>
      </c>
      <c r="F25" s="28"/>
      <c r="G25" s="28">
        <f>(1000*2+2*500+1000)/$G6*(1+$P$5)*(1+$P$7)</f>
        <v>0.79701400000000011</v>
      </c>
      <c r="H25" s="28">
        <f>(1000*10+10*500+3500)/$G6*(1+$P$5)*(1+$P$7)</f>
        <v>3.6861897500000005</v>
      </c>
      <c r="I25" s="28">
        <f>(1000*10+10*500+4500)/$G6*(1+$P$5)*(1+$P$7)</f>
        <v>3.8854432500000002</v>
      </c>
      <c r="J25" s="28"/>
      <c r="K25" s="28">
        <f>(1000*2+2*500+1000)/$K6*(1+$P$5)*(1+$P$7)</f>
        <v>0.49047015384615389</v>
      </c>
      <c r="L25" s="28">
        <f>(1000*15+15*500+4500)/$K6*(1+$P$5)*(1+$P$7)</f>
        <v>3.3106735384615393</v>
      </c>
      <c r="M25" s="28">
        <f>(1000*15+15*500+5500)/$K6*(1+$P$5)*(1+$P$7)</f>
        <v>3.4332910769230769</v>
      </c>
      <c r="O25" s="5"/>
    </row>
    <row r="26" spans="1:15" x14ac:dyDescent="0.2">
      <c r="A26" s="14" t="s">
        <v>47</v>
      </c>
      <c r="B26" s="16"/>
      <c r="C26" s="28">
        <f>2000/$C$6</f>
        <v>0.4</v>
      </c>
      <c r="D26" s="28">
        <f t="shared" ref="D26:E26" si="0">2000/$C$6</f>
        <v>0.4</v>
      </c>
      <c r="E26" s="28">
        <f t="shared" si="0"/>
        <v>0.4</v>
      </c>
      <c r="F26" s="28"/>
      <c r="G26" s="28">
        <f>2000/$C$6</f>
        <v>0.4</v>
      </c>
      <c r="H26" s="28">
        <f t="shared" ref="H26:I26" si="1">2000/$C$6</f>
        <v>0.4</v>
      </c>
      <c r="I26" s="28">
        <f t="shared" si="1"/>
        <v>0.4</v>
      </c>
      <c r="J26" s="28"/>
      <c r="K26" s="28">
        <f>2000/$C$6</f>
        <v>0.4</v>
      </c>
      <c r="L26" s="28">
        <f t="shared" ref="L26:M26" si="2">2000/$C$6</f>
        <v>0.4</v>
      </c>
      <c r="M26" s="28">
        <f t="shared" si="2"/>
        <v>0.4</v>
      </c>
      <c r="O26" s="5"/>
    </row>
    <row r="27" spans="1:15" s="20" customFormat="1" x14ac:dyDescent="0.2">
      <c r="A27" s="21" t="s">
        <v>10</v>
      </c>
      <c r="B27" s="19"/>
      <c r="C27" s="24">
        <f>+SUM(C28:C38)</f>
        <v>4.0062357800000008</v>
      </c>
      <c r="D27" s="24">
        <f>+SUM(D28:D38)</f>
        <v>4.0062357800000008</v>
      </c>
      <c r="E27" s="24">
        <f>+SUM(E28:E38)</f>
        <v>82.256661677647074</v>
      </c>
      <c r="F27" s="23"/>
      <c r="G27" s="24">
        <f>+SUM(G28:G38)</f>
        <v>3.7937357800000004</v>
      </c>
      <c r="H27" s="24">
        <f>+SUM(H28:H38)</f>
        <v>3.7937357800000004</v>
      </c>
      <c r="I27" s="24">
        <f>+SUM(I28:I38)</f>
        <v>79.772282148235291</v>
      </c>
      <c r="J27" s="24"/>
      <c r="K27" s="24">
        <f>+SUM(K28:K38)</f>
        <v>3.3370050107692308</v>
      </c>
      <c r="L27" s="24">
        <f>+SUM(L28:L38)</f>
        <v>3.3370050107692308</v>
      </c>
      <c r="M27" s="24">
        <f>+SUM(M28:M38)</f>
        <v>77.106704374479648</v>
      </c>
      <c r="O27" s="25"/>
    </row>
    <row r="28" spans="1:15" x14ac:dyDescent="0.2">
      <c r="A28" s="14" t="s">
        <v>48</v>
      </c>
      <c r="B28" s="16"/>
      <c r="C28" s="28">
        <v>0</v>
      </c>
      <c r="D28" s="27">
        <v>0</v>
      </c>
      <c r="E28" s="27">
        <f>(25+5+2)*(1+$P$5)*(1+$P$7)</f>
        <v>51.008896000000007</v>
      </c>
      <c r="F28" s="27"/>
      <c r="G28" s="27">
        <v>0</v>
      </c>
      <c r="H28" s="27">
        <v>0</v>
      </c>
      <c r="I28" s="27">
        <f>(23+5+2)*(1+$P$5)*(1+$P$7)</f>
        <v>47.820840000000004</v>
      </c>
      <c r="J28" s="27"/>
      <c r="K28" s="27">
        <v>0</v>
      </c>
      <c r="L28" s="27">
        <v>0</v>
      </c>
      <c r="M28" s="27">
        <f>(22+5+2)*(1+$P$5)*(1+$P$7)</f>
        <v>46.226812000000002</v>
      </c>
      <c r="O28" s="5"/>
    </row>
    <row r="29" spans="1:15" x14ac:dyDescent="0.2">
      <c r="A29" s="14" t="s">
        <v>49</v>
      </c>
      <c r="B29" s="16"/>
      <c r="C29" s="28">
        <f>(10*$C$13*(1+$P$6)*(1+$P$7))/$C$6</f>
        <v>2.6062357800000004</v>
      </c>
      <c r="D29" s="28">
        <f>(10*$C$13*(1+$P$6)*(1+$P$7))/$C$6</f>
        <v>2.6062357800000004</v>
      </c>
      <c r="E29" s="28">
        <f>(20*$C$13*(1+$P$6)*(1+$P$7))/$C$6</f>
        <v>5.2124715600000009</v>
      </c>
      <c r="F29" s="28"/>
      <c r="G29" s="28">
        <f>(10*$G$13*(1+$P$6)*(1+$P$7))/$G$6</f>
        <v>2.6062357800000004</v>
      </c>
      <c r="H29" s="28">
        <f>(10*$G$13*(1+$P$6)*(1+$P$7))/$G$6</f>
        <v>2.6062357800000004</v>
      </c>
      <c r="I29" s="28">
        <f>(20*$G$13*(1+$P$6)*(1+$P$7))/$G$6</f>
        <v>5.2124715600000009</v>
      </c>
      <c r="J29" s="28"/>
      <c r="K29" s="28">
        <f>(10*$K$13*(1+$P$6)*(1+$P$7))/$K$6</f>
        <v>2.6062357800000004</v>
      </c>
      <c r="L29" s="28">
        <f>(10*$K$13*(1+$P$6)*(1+$P$7))/$K$6</f>
        <v>2.6062357800000004</v>
      </c>
      <c r="M29" s="28">
        <f>(20*$K$13*(1+$P$6)*(1+$P$7))/$K$6</f>
        <v>5.2124715600000009</v>
      </c>
      <c r="O29" s="5"/>
    </row>
    <row r="30" spans="1:15" x14ac:dyDescent="0.2">
      <c r="A30" s="14" t="s">
        <v>50</v>
      </c>
      <c r="B30" s="16"/>
      <c r="C30" s="28">
        <v>0</v>
      </c>
      <c r="D30" s="28">
        <v>0</v>
      </c>
      <c r="E30" s="28">
        <f>(($C$12/$D$11*0.4)*300+($C$14/$D$11*0.4)*80)/$C$6</f>
        <v>24.235294117647062</v>
      </c>
      <c r="F30" s="28"/>
      <c r="G30" s="28">
        <v>0</v>
      </c>
      <c r="H30" s="28">
        <v>0</v>
      </c>
      <c r="I30" s="28">
        <f>(($G$12/$H$11*0.4)*300+($G$14/$H$11*0.4)*80)/$G$6</f>
        <v>25.176470588235293</v>
      </c>
      <c r="J30" s="28"/>
      <c r="K30" s="28">
        <v>0</v>
      </c>
      <c r="L30" s="28">
        <v>0</v>
      </c>
      <c r="M30" s="28">
        <f>(($K$12/$L$11*0.4)*300+($K$14/$L$11*0.4)*80)/$K$6</f>
        <v>24.705882352941178</v>
      </c>
      <c r="O30" s="26" t="s">
        <v>87</v>
      </c>
    </row>
    <row r="31" spans="1:15" x14ac:dyDescent="0.2">
      <c r="A31" s="14" t="s">
        <v>51</v>
      </c>
      <c r="B31" s="16"/>
      <c r="C31" s="29">
        <v>0</v>
      </c>
      <c r="D31" s="29">
        <v>0</v>
      </c>
      <c r="E31" s="29">
        <v>0</v>
      </c>
      <c r="F31" s="29"/>
      <c r="G31" s="29">
        <v>0</v>
      </c>
      <c r="H31" s="29">
        <v>0</v>
      </c>
      <c r="I31" s="29">
        <v>0</v>
      </c>
      <c r="J31" s="29"/>
      <c r="K31" s="29">
        <v>0</v>
      </c>
      <c r="L31" s="29">
        <v>0</v>
      </c>
      <c r="M31" s="29">
        <v>0</v>
      </c>
      <c r="O31" s="26" t="s">
        <v>80</v>
      </c>
    </row>
    <row r="32" spans="1:15" x14ac:dyDescent="0.2">
      <c r="A32" s="14" t="s">
        <v>52</v>
      </c>
      <c r="B32" s="16"/>
      <c r="C32" s="29">
        <v>0</v>
      </c>
      <c r="D32" s="29">
        <v>0</v>
      </c>
      <c r="E32" s="29">
        <v>0</v>
      </c>
      <c r="F32" s="29"/>
      <c r="G32" s="29">
        <v>0</v>
      </c>
      <c r="H32" s="29">
        <v>0</v>
      </c>
      <c r="I32" s="29">
        <v>0</v>
      </c>
      <c r="J32" s="29"/>
      <c r="K32" s="29">
        <v>0</v>
      </c>
      <c r="L32" s="29">
        <v>0</v>
      </c>
      <c r="M32" s="29">
        <v>0</v>
      </c>
      <c r="O32" s="5"/>
    </row>
    <row r="33" spans="1:15" x14ac:dyDescent="0.2">
      <c r="A33" s="14" t="s">
        <v>53</v>
      </c>
      <c r="B33" s="16"/>
      <c r="C33" s="29">
        <f>(2500*$C$5)/$C$6</f>
        <v>1</v>
      </c>
      <c r="D33" s="29">
        <f>(2500*$C$5)/$C$6</f>
        <v>1</v>
      </c>
      <c r="E33" s="29">
        <f>(2500+1000)*$C$5/$C$6</f>
        <v>1.4</v>
      </c>
      <c r="F33" s="29"/>
      <c r="G33" s="29">
        <f>(2500*$G$5)/$G$6</f>
        <v>0.9375</v>
      </c>
      <c r="H33" s="29">
        <f>(2500*$G$5)/$G$6</f>
        <v>0.9375</v>
      </c>
      <c r="I33" s="29">
        <f>(2500+1000)*$G$5/$G$6</f>
        <v>1.3125</v>
      </c>
      <c r="J33" s="29"/>
      <c r="K33" s="29">
        <f>(2500*$K$5)/$K$6</f>
        <v>0.57692307692307687</v>
      </c>
      <c r="L33" s="29">
        <f>(2500*$K$5)/$K$6</f>
        <v>0.57692307692307687</v>
      </c>
      <c r="M33" s="29">
        <f>(2500+1000)*$K$5/$K$6</f>
        <v>0.80769230769230771</v>
      </c>
      <c r="O33" s="5"/>
    </row>
    <row r="34" spans="1:15" x14ac:dyDescent="0.2">
      <c r="A34" s="14" t="s">
        <v>54</v>
      </c>
      <c r="B34" s="16"/>
      <c r="C34" s="28">
        <v>0</v>
      </c>
      <c r="D34" s="28">
        <v>0</v>
      </c>
      <c r="E34" s="28">
        <v>0</v>
      </c>
      <c r="F34" s="28"/>
      <c r="G34" s="28">
        <v>0</v>
      </c>
      <c r="H34" s="28">
        <v>0</v>
      </c>
      <c r="I34" s="28">
        <v>0</v>
      </c>
      <c r="J34" s="28"/>
      <c r="K34" s="28">
        <v>0</v>
      </c>
      <c r="L34" s="28">
        <v>0</v>
      </c>
      <c r="M34" s="28">
        <v>0</v>
      </c>
      <c r="O34" s="5"/>
    </row>
    <row r="35" spans="1:15" x14ac:dyDescent="0.2">
      <c r="A35" s="14" t="s">
        <v>55</v>
      </c>
      <c r="B35" s="16"/>
      <c r="C35" s="28">
        <v>0</v>
      </c>
      <c r="D35" s="28">
        <v>0</v>
      </c>
      <c r="E35" s="28">
        <v>0</v>
      </c>
      <c r="F35" s="28"/>
      <c r="G35" s="28">
        <v>0</v>
      </c>
      <c r="H35" s="28">
        <v>0</v>
      </c>
      <c r="I35" s="28">
        <v>0</v>
      </c>
      <c r="J35" s="28"/>
      <c r="K35" s="28">
        <v>0</v>
      </c>
      <c r="L35" s="28">
        <v>0</v>
      </c>
      <c r="M35" s="28">
        <v>0</v>
      </c>
      <c r="O35" s="5"/>
    </row>
    <row r="36" spans="1:15" x14ac:dyDescent="0.2">
      <c r="A36" s="14" t="s">
        <v>56</v>
      </c>
      <c r="B36" s="16"/>
      <c r="C36" s="29">
        <v>0</v>
      </c>
      <c r="D36" s="29">
        <v>0</v>
      </c>
      <c r="E36" s="29">
        <v>0</v>
      </c>
      <c r="F36" s="29"/>
      <c r="G36" s="29">
        <v>0</v>
      </c>
      <c r="H36" s="29">
        <v>0</v>
      </c>
      <c r="I36" s="29">
        <v>0</v>
      </c>
      <c r="J36" s="29"/>
      <c r="K36" s="29">
        <v>0</v>
      </c>
      <c r="L36" s="29">
        <v>0</v>
      </c>
      <c r="M36" s="29">
        <v>0</v>
      </c>
      <c r="O36" s="26" t="s">
        <v>80</v>
      </c>
    </row>
    <row r="37" spans="1:15" x14ac:dyDescent="0.2">
      <c r="A37" s="14" t="s">
        <v>57</v>
      </c>
      <c r="B37" s="16"/>
      <c r="C37" s="28">
        <v>0</v>
      </c>
      <c r="D37" s="28">
        <v>0</v>
      </c>
      <c r="E37" s="28">
        <v>0</v>
      </c>
      <c r="F37" s="28"/>
      <c r="G37" s="28">
        <v>0</v>
      </c>
      <c r="H37" s="28">
        <v>0</v>
      </c>
      <c r="I37" s="28">
        <v>0</v>
      </c>
      <c r="J37" s="28"/>
      <c r="K37" s="28">
        <v>0</v>
      </c>
      <c r="L37" s="28">
        <v>0</v>
      </c>
      <c r="M37" s="28">
        <v>0</v>
      </c>
      <c r="O37" s="5"/>
    </row>
    <row r="38" spans="1:15" x14ac:dyDescent="0.2">
      <c r="A38" s="14" t="s">
        <v>47</v>
      </c>
      <c r="B38" s="16"/>
      <c r="C38" s="28">
        <f>2000/$C$6</f>
        <v>0.4</v>
      </c>
      <c r="D38" s="28">
        <f t="shared" ref="D38:E38" si="3">2000/$C$6</f>
        <v>0.4</v>
      </c>
      <c r="E38" s="28">
        <f t="shared" si="3"/>
        <v>0.4</v>
      </c>
      <c r="F38" s="28"/>
      <c r="G38" s="28">
        <f>2000/$G$6</f>
        <v>0.25</v>
      </c>
      <c r="H38" s="28">
        <f t="shared" ref="H38:I38" si="4">2000/$G$6</f>
        <v>0.25</v>
      </c>
      <c r="I38" s="28">
        <f t="shared" si="4"/>
        <v>0.25</v>
      </c>
      <c r="J38" s="28"/>
      <c r="K38" s="28">
        <f>2000/$K$6</f>
        <v>0.15384615384615385</v>
      </c>
      <c r="L38" s="28">
        <f t="shared" ref="L38:M38" si="5">2000/$K$6</f>
        <v>0.15384615384615385</v>
      </c>
      <c r="M38" s="28">
        <f t="shared" si="5"/>
        <v>0.15384615384615385</v>
      </c>
      <c r="O38" s="5"/>
    </row>
    <row r="39" spans="1:15" s="20" customFormat="1" x14ac:dyDescent="0.2">
      <c r="A39" s="21" t="s">
        <v>11</v>
      </c>
      <c r="B39" s="19"/>
      <c r="C39" s="24">
        <f>+SUM(C40:C44)</f>
        <v>0.4</v>
      </c>
      <c r="D39" s="24">
        <f t="shared" ref="D39:E39" si="6">+SUM(D40:D44)</f>
        <v>56.190979999999996</v>
      </c>
      <c r="E39" s="24">
        <f t="shared" si="6"/>
        <v>86.477512000000019</v>
      </c>
      <c r="F39" s="23"/>
      <c r="G39" s="24">
        <f>+SUM(G40:G44)</f>
        <v>0.25</v>
      </c>
      <c r="H39" s="24">
        <f t="shared" ref="H39" si="7">+SUM(H40:H44)</f>
        <v>56.040979999999998</v>
      </c>
      <c r="I39" s="24">
        <f t="shared" ref="I39" si="8">+SUM(I40:I44)</f>
        <v>86.327512000000013</v>
      </c>
      <c r="J39" s="24"/>
      <c r="K39" s="24">
        <f>+SUM(K40:K44)</f>
        <v>0.15384615384615385</v>
      </c>
      <c r="L39" s="24">
        <f t="shared" ref="L39" si="9">+SUM(L40:L44)</f>
        <v>55.944826153846151</v>
      </c>
      <c r="M39" s="24">
        <f t="shared" ref="M39" si="10">+SUM(M40:M44)</f>
        <v>86.231358153846173</v>
      </c>
      <c r="O39" s="25"/>
    </row>
    <row r="40" spans="1:15" x14ac:dyDescent="0.2">
      <c r="A40" s="14" t="s">
        <v>58</v>
      </c>
      <c r="B40" s="16"/>
      <c r="C40" s="28">
        <v>0</v>
      </c>
      <c r="D40" s="28">
        <v>0</v>
      </c>
      <c r="E40" s="27">
        <f>(2)*(1+$P$5)*(1+$P$7)</f>
        <v>3.1880560000000004</v>
      </c>
      <c r="F40" s="28"/>
      <c r="G40" s="28">
        <v>0</v>
      </c>
      <c r="H40" s="28">
        <v>0</v>
      </c>
      <c r="I40" s="27">
        <f>(2)*(1+$P$5)*(1+$P$7)</f>
        <v>3.1880560000000004</v>
      </c>
      <c r="J40" s="28"/>
      <c r="K40" s="28">
        <v>0</v>
      </c>
      <c r="L40" s="28">
        <v>0</v>
      </c>
      <c r="M40" s="27">
        <f>(2)*(1+$P$5)*(1+$P$7)</f>
        <v>3.1880560000000004</v>
      </c>
      <c r="O40" s="5"/>
    </row>
    <row r="41" spans="1:15" x14ac:dyDescent="0.2">
      <c r="A41" s="14" t="s">
        <v>59</v>
      </c>
      <c r="B41" s="16"/>
      <c r="C41" s="28">
        <v>0</v>
      </c>
      <c r="D41" s="27">
        <f>(20+5+5+5)*(1+$P$5)*(1+$P$7)</f>
        <v>55.790979999999998</v>
      </c>
      <c r="E41" s="27">
        <f>(30+6+5+6)*(1+$P$5)*(1+$P$7)</f>
        <v>74.919316000000009</v>
      </c>
      <c r="F41" s="28"/>
      <c r="G41" s="28">
        <v>0</v>
      </c>
      <c r="H41" s="27">
        <f>(20+5+5+5)*(1+$P$5)*(1+$P$7)</f>
        <v>55.790979999999998</v>
      </c>
      <c r="I41" s="27">
        <f>(30+6+5+6)*(1+$P$5)*(1+$P$7)</f>
        <v>74.919316000000009</v>
      </c>
      <c r="J41" s="28"/>
      <c r="K41" s="28">
        <v>0</v>
      </c>
      <c r="L41" s="27">
        <f>(20+5+5+5)*(1+$P$5)*(1+$P$7)</f>
        <v>55.790979999999998</v>
      </c>
      <c r="M41" s="27">
        <f>(30+6+5+6)*(1+$P$5)*(1+$P$7)</f>
        <v>74.919316000000009</v>
      </c>
      <c r="O41" s="26" t="s">
        <v>81</v>
      </c>
    </row>
    <row r="42" spans="1:15" x14ac:dyDescent="0.2">
      <c r="A42" s="14" t="s">
        <v>64</v>
      </c>
      <c r="B42" s="16"/>
      <c r="C42" s="29">
        <v>0</v>
      </c>
      <c r="D42" s="29">
        <v>0</v>
      </c>
      <c r="E42" s="29">
        <v>0</v>
      </c>
      <c r="F42" s="29"/>
      <c r="G42" s="29">
        <v>0</v>
      </c>
      <c r="H42" s="29">
        <v>0</v>
      </c>
      <c r="I42" s="29">
        <v>0</v>
      </c>
      <c r="J42" s="29"/>
      <c r="K42" s="29">
        <v>0</v>
      </c>
      <c r="L42" s="29">
        <v>0</v>
      </c>
      <c r="M42" s="29">
        <v>0</v>
      </c>
      <c r="O42" s="26" t="s">
        <v>82</v>
      </c>
    </row>
    <row r="43" spans="1:15" x14ac:dyDescent="0.2">
      <c r="A43" s="14" t="s">
        <v>60</v>
      </c>
      <c r="B43" s="16"/>
      <c r="C43" s="28">
        <v>0</v>
      </c>
      <c r="D43" s="28">
        <v>0</v>
      </c>
      <c r="E43" s="28">
        <f>5*(1+$P$5)*((1+$P$7))+D43</f>
        <v>7.9701400000000007</v>
      </c>
      <c r="F43" s="28"/>
      <c r="G43" s="28">
        <v>0</v>
      </c>
      <c r="H43" s="28">
        <v>0</v>
      </c>
      <c r="I43" s="28">
        <f>5*(1+$P$5)*((1+$P$7))+H43</f>
        <v>7.9701400000000007</v>
      </c>
      <c r="J43" s="28"/>
      <c r="K43" s="28">
        <v>0</v>
      </c>
      <c r="L43" s="28">
        <v>0</v>
      </c>
      <c r="M43" s="28">
        <f>5*(1+$P$5)*((1+$P$7))+L43</f>
        <v>7.9701400000000007</v>
      </c>
      <c r="O43" s="26" t="s">
        <v>83</v>
      </c>
    </row>
    <row r="44" spans="1:15" x14ac:dyDescent="0.2">
      <c r="A44" s="14" t="s">
        <v>47</v>
      </c>
      <c r="B44" s="16"/>
      <c r="C44" s="28">
        <f>2000/$C$6</f>
        <v>0.4</v>
      </c>
      <c r="D44" s="28">
        <f t="shared" ref="D44:E44" si="11">2000/$C$6</f>
        <v>0.4</v>
      </c>
      <c r="E44" s="28">
        <f t="shared" si="11"/>
        <v>0.4</v>
      </c>
      <c r="F44" s="28"/>
      <c r="G44" s="28">
        <f>2000/$G$6</f>
        <v>0.25</v>
      </c>
      <c r="H44" s="28">
        <f t="shared" ref="H44:I44" si="12">2000/$G$6</f>
        <v>0.25</v>
      </c>
      <c r="I44" s="28">
        <f t="shared" si="12"/>
        <v>0.25</v>
      </c>
      <c r="J44" s="28"/>
      <c r="K44" s="28">
        <f>2000/$K$6</f>
        <v>0.15384615384615385</v>
      </c>
      <c r="L44" s="28">
        <f t="shared" ref="L44:M44" si="13">2000/$K$6</f>
        <v>0.15384615384615385</v>
      </c>
      <c r="M44" s="28">
        <f t="shared" si="13"/>
        <v>0.15384615384615385</v>
      </c>
      <c r="O44" s="26"/>
    </row>
    <row r="45" spans="1:15" s="20" customFormat="1" x14ac:dyDescent="0.2">
      <c r="A45" s="21" t="s">
        <v>12</v>
      </c>
      <c r="B45" s="19"/>
      <c r="C45" s="24">
        <f>+SUM(C46:C50)</f>
        <v>6.6549658720000009</v>
      </c>
      <c r="D45" s="24">
        <f t="shared" ref="D45" si="14">+SUM(D46:D50)</f>
        <v>84.732595784000011</v>
      </c>
      <c r="E45" s="24">
        <f t="shared" ref="E45" si="15">+SUM(E46:E50)</f>
        <v>114.98300958400002</v>
      </c>
      <c r="F45" s="23"/>
      <c r="G45" s="24">
        <f>+SUM(G46:G50)</f>
        <v>6.5049658720000005</v>
      </c>
      <c r="H45" s="24">
        <f t="shared" ref="H45" si="16">+SUM(H46:H50)</f>
        <v>84.582595784000006</v>
      </c>
      <c r="I45" s="24">
        <f t="shared" ref="I45" si="17">+SUM(I46:I50)</f>
        <v>114.83300958400001</v>
      </c>
      <c r="J45" s="24"/>
      <c r="K45" s="24">
        <f>+SUM(K46:K50)</f>
        <v>6.4088120258461547</v>
      </c>
      <c r="L45" s="24">
        <f t="shared" ref="L45" si="18">+SUM(L46:L50)</f>
        <v>84.486441937846166</v>
      </c>
      <c r="M45" s="24">
        <f t="shared" ref="M45" si="19">+SUM(M46:M50)</f>
        <v>114.73685573784617</v>
      </c>
      <c r="O45" s="25"/>
    </row>
    <row r="46" spans="1:15" x14ac:dyDescent="0.2">
      <c r="A46" s="14" t="s">
        <v>61</v>
      </c>
      <c r="B46" s="16"/>
      <c r="C46" s="28">
        <v>0</v>
      </c>
      <c r="D46" s="28">
        <f>(12+3)*(1+$P$5)*(1+$P$7)</f>
        <v>23.910420000000002</v>
      </c>
      <c r="E46" s="28">
        <f>(12+3+2)*(1+$P$5)*(1+$P$7)</f>
        <v>27.098476000000002</v>
      </c>
      <c r="F46" s="28"/>
      <c r="G46" s="28">
        <v>0</v>
      </c>
      <c r="H46" s="28">
        <f>(12+3)*(1+$P$5)*(1+$P$7)</f>
        <v>23.910420000000002</v>
      </c>
      <c r="I46" s="28">
        <f>(12+3+2)*(1+$P$5)*(1+$P$7)</f>
        <v>27.098476000000002</v>
      </c>
      <c r="J46" s="28"/>
      <c r="K46" s="28">
        <v>0</v>
      </c>
      <c r="L46" s="28">
        <f>(12+3)*(1+$P$5)*(1+$P$7)</f>
        <v>23.910420000000002</v>
      </c>
      <c r="M46" s="28">
        <f>(12+3+2)*(1+$P$5)*(1+$P$7)</f>
        <v>27.098476000000002</v>
      </c>
      <c r="O46" s="5"/>
    </row>
    <row r="47" spans="1:15" x14ac:dyDescent="0.2">
      <c r="A47" s="14" t="s">
        <v>62</v>
      </c>
      <c r="B47" s="16"/>
      <c r="C47" s="28">
        <v>0</v>
      </c>
      <c r="D47" s="28">
        <f>($C$12*0.2*300*(1+$P$6)*(1+$P$7))/$C$6</f>
        <v>52.124715600000002</v>
      </c>
      <c r="E47" s="28">
        <f>($C$12*0.3*300*(1+$P$6)*(1+$P$7))/$C$6</f>
        <v>78.187073400000003</v>
      </c>
      <c r="F47" s="28"/>
      <c r="G47" s="28">
        <v>0</v>
      </c>
      <c r="H47" s="28">
        <f>($C$12*0.2*300*(1+$P$6)*(1+$P$7))/$C$6</f>
        <v>52.124715600000002</v>
      </c>
      <c r="I47" s="28">
        <f>($C$12*0.3*300*(1+$P$6)*(1+$P$7))/$C$6</f>
        <v>78.187073400000003</v>
      </c>
      <c r="J47" s="28"/>
      <c r="K47" s="28">
        <v>0</v>
      </c>
      <c r="L47" s="28">
        <f>($C$12*0.2*300*(1+$P$6)*(1+$P$7))/$C$6</f>
        <v>52.124715600000002</v>
      </c>
      <c r="M47" s="28">
        <f>($C$12*0.3*300*(1+$P$6)*(1+$P$7))/$C$6</f>
        <v>78.187073400000003</v>
      </c>
      <c r="O47" s="5"/>
    </row>
    <row r="48" spans="1:15" x14ac:dyDescent="0.2">
      <c r="A48" s="14" t="s">
        <v>63</v>
      </c>
      <c r="B48" s="16"/>
      <c r="C48" s="28">
        <f>($C$13*0.6*40*(1+$P$6)*(1+$P$7))/$C$6</f>
        <v>6.2549658720000005</v>
      </c>
      <c r="D48" s="28">
        <f>($C$13*0.7*40*(1+$P$6)*(1+$P$7))/$C$6</f>
        <v>7.2974601840000002</v>
      </c>
      <c r="E48" s="28">
        <f>($C$13*0.7*40*(1+$P$6)*(1+$P$7))/$C$6</f>
        <v>7.2974601840000002</v>
      </c>
      <c r="F48" s="28"/>
      <c r="G48" s="28">
        <f>($G$13*0.6*40*(1+$P$6)*(1+$P$7))/$G$6</f>
        <v>6.2549658720000005</v>
      </c>
      <c r="H48" s="28">
        <f>($G$13*0.7*40*(1+$P$6)*(1+$P$7))/$G$6</f>
        <v>7.2974601840000011</v>
      </c>
      <c r="I48" s="28">
        <f>($G$13*0.7*40*(1+$P$6)*(1+$P$7))/$G$6</f>
        <v>7.2974601840000011</v>
      </c>
      <c r="J48" s="28"/>
      <c r="K48" s="28">
        <f>($K$13*0.6*40*(1+$P$6)*(1+$P$7))/$K$6</f>
        <v>6.2549658720000005</v>
      </c>
      <c r="L48" s="28">
        <f>($K$13*0.7*40*(1+$P$6)*(1+$P$7))/$K$6</f>
        <v>7.297460184000002</v>
      </c>
      <c r="M48" s="28">
        <f>($K$13*0.7*40*(1+$P$6)*(1+$P$7))/$K$6</f>
        <v>7.297460184000002</v>
      </c>
      <c r="O48" s="5"/>
    </row>
    <row r="49" spans="1:15" x14ac:dyDescent="0.2">
      <c r="A49" s="14" t="s">
        <v>64</v>
      </c>
      <c r="B49" s="16"/>
      <c r="C49" s="28">
        <v>0</v>
      </c>
      <c r="D49" s="28">
        <v>1</v>
      </c>
      <c r="E49" s="28">
        <v>2</v>
      </c>
      <c r="F49" s="28"/>
      <c r="G49" s="28">
        <v>0</v>
      </c>
      <c r="H49" s="28">
        <v>1</v>
      </c>
      <c r="I49" s="28">
        <v>2</v>
      </c>
      <c r="J49" s="28"/>
      <c r="K49" s="28">
        <v>0</v>
      </c>
      <c r="L49" s="28">
        <v>1</v>
      </c>
      <c r="M49" s="28">
        <v>2</v>
      </c>
      <c r="O49" s="5"/>
    </row>
    <row r="50" spans="1:15" x14ac:dyDescent="0.2">
      <c r="A50" s="14" t="s">
        <v>47</v>
      </c>
      <c r="B50" s="16"/>
      <c r="C50" s="28">
        <f>2000/$C$6</f>
        <v>0.4</v>
      </c>
      <c r="D50" s="28">
        <f t="shared" ref="D50:E50" si="20">2000/$C$6</f>
        <v>0.4</v>
      </c>
      <c r="E50" s="28">
        <f t="shared" si="20"/>
        <v>0.4</v>
      </c>
      <c r="F50" s="28"/>
      <c r="G50" s="28">
        <f>2000/$G$6</f>
        <v>0.25</v>
      </c>
      <c r="H50" s="28">
        <f t="shared" ref="H50:I50" si="21">2000/$G$6</f>
        <v>0.25</v>
      </c>
      <c r="I50" s="28">
        <f t="shared" si="21"/>
        <v>0.25</v>
      </c>
      <c r="J50" s="28"/>
      <c r="K50" s="28">
        <f>2000/$K$6</f>
        <v>0.15384615384615385</v>
      </c>
      <c r="L50" s="28">
        <f t="shared" ref="L50:M50" si="22">2000/$K$6</f>
        <v>0.15384615384615385</v>
      </c>
      <c r="M50" s="28">
        <f t="shared" si="22"/>
        <v>0.15384615384615385</v>
      </c>
      <c r="O50" s="5"/>
    </row>
    <row r="51" spans="1:15" s="20" customFormat="1" x14ac:dyDescent="0.2">
      <c r="A51" s="21" t="s">
        <v>13</v>
      </c>
      <c r="B51" s="19"/>
      <c r="C51" s="24">
        <f>+SUM(C52:C57)</f>
        <v>2.8324867280000001</v>
      </c>
      <c r="D51" s="24">
        <f t="shared" ref="D51:E51" si="23">+SUM(D52:D57)</f>
        <v>19.490079328</v>
      </c>
      <c r="E51" s="24">
        <f t="shared" si="23"/>
        <v>42.750135904000004</v>
      </c>
      <c r="F51" s="23"/>
      <c r="G51" s="24">
        <f>+SUM(G52:G57)</f>
        <v>3.0299848320000007</v>
      </c>
      <c r="H51" s="24">
        <f t="shared" ref="H51" si="24">+SUM(H52:H57)</f>
        <v>19.687577432000005</v>
      </c>
      <c r="I51" s="24">
        <f t="shared" ref="I51" si="25">+SUM(I52:I57)</f>
        <v>44.511375475999998</v>
      </c>
      <c r="J51" s="24"/>
      <c r="K51" s="24">
        <f>+SUM(K52:K57)</f>
        <v>2.7600819338461542</v>
      </c>
      <c r="L51" s="24">
        <f t="shared" ref="L51" si="26">+SUM(L52:L57)</f>
        <v>19.417674533846153</v>
      </c>
      <c r="M51" s="24">
        <f t="shared" ref="M51" si="27">+SUM(M52:M57)</f>
        <v>43.459601843846158</v>
      </c>
      <c r="O51" s="25"/>
    </row>
    <row r="52" spans="1:15" x14ac:dyDescent="0.2">
      <c r="A52" s="14" t="s">
        <v>65</v>
      </c>
      <c r="B52" s="16"/>
      <c r="C52" s="28">
        <v>0</v>
      </c>
      <c r="D52" s="28">
        <v>0</v>
      </c>
      <c r="E52" s="28">
        <f>(5*$C$12*(1+$P$6)*(1+$P$7))/$C$6</f>
        <v>4.343726300000001</v>
      </c>
      <c r="F52" s="28"/>
      <c r="G52" s="28">
        <v>0</v>
      </c>
      <c r="H52" s="28">
        <v>0</v>
      </c>
      <c r="I52" s="28">
        <f>(5*$G$12*(1+$P$6)*(1+$P$7))/$G$6</f>
        <v>4.343726300000001</v>
      </c>
      <c r="J52" s="28"/>
      <c r="K52" s="28">
        <v>0</v>
      </c>
      <c r="L52" s="28">
        <v>0</v>
      </c>
      <c r="M52" s="28">
        <f>(5*$K$12*(1+$P$6)*(1+$P$7))/$K$6</f>
        <v>4.3437263000000002</v>
      </c>
      <c r="O52" s="5"/>
    </row>
    <row r="53" spans="1:15" x14ac:dyDescent="0.2">
      <c r="A53" s="14" t="s">
        <v>66</v>
      </c>
      <c r="B53" s="16"/>
      <c r="C53" s="28">
        <v>0</v>
      </c>
      <c r="D53" s="28">
        <f>(5)*(1+$P$5)*(1+$P$7)</f>
        <v>7.9701400000000007</v>
      </c>
      <c r="E53" s="28">
        <f>(10)*(1+$P$5)*(1+$P$7)</f>
        <v>15.940280000000001</v>
      </c>
      <c r="F53" s="28"/>
      <c r="G53" s="28">
        <v>0</v>
      </c>
      <c r="H53" s="28">
        <f>(5)*(1+$P$5)*(1+$P$7)</f>
        <v>7.9701400000000007</v>
      </c>
      <c r="I53" s="28">
        <f>(10)*(1+$P$5)*(1+$P$7)</f>
        <v>15.940280000000001</v>
      </c>
      <c r="J53" s="28"/>
      <c r="K53" s="28">
        <v>0</v>
      </c>
      <c r="L53" s="28">
        <f>(5)*(1+$P$5)*(1+$P$7)</f>
        <v>7.9701400000000007</v>
      </c>
      <c r="M53" s="28">
        <f>(10)*(1+$P$5)*(1+$P$7)</f>
        <v>15.940280000000001</v>
      </c>
      <c r="O53" s="5"/>
    </row>
    <row r="54" spans="1:15" x14ac:dyDescent="0.2">
      <c r="A54" s="14" t="s">
        <v>67</v>
      </c>
      <c r="B54" s="16"/>
      <c r="C54" s="28">
        <v>0</v>
      </c>
      <c r="D54" s="28">
        <f>(5*$C$6*(1+$P$6)*(1+$P$7))/$C$6</f>
        <v>8.6874526000000021</v>
      </c>
      <c r="E54" s="28">
        <f>((5*$C$6+$C$14*0.1*50)*(1+$P$6)*(1+$P$7))/$C$6</f>
        <v>14.768669420000002</v>
      </c>
      <c r="F54" s="28"/>
      <c r="G54" s="28">
        <v>0</v>
      </c>
      <c r="H54" s="28">
        <f>(5*$G$6*(1+$P$6)*(1+$P$7))/$G$6</f>
        <v>8.6874526000000021</v>
      </c>
      <c r="I54" s="28">
        <f>((5*$G$6+$G$14*0.1*50)*(1+$P$6)*(1+$P$7))/$G$6</f>
        <v>15.637414680000001</v>
      </c>
      <c r="J54" s="28"/>
      <c r="K54" s="28">
        <v>0</v>
      </c>
      <c r="L54" s="28">
        <f>(5*$K$6*(1+$P$6)*(1+$P$7))/$K$6</f>
        <v>8.6874526000000003</v>
      </c>
      <c r="M54" s="28">
        <f>((5*$K$6+$K$14*0.1*50)*(1+$P$6)*(1+$P$7))/$K$6</f>
        <v>15.203042050000002</v>
      </c>
      <c r="O54" s="5"/>
    </row>
    <row r="55" spans="1:15" x14ac:dyDescent="0.2">
      <c r="A55" s="14" t="s">
        <v>68</v>
      </c>
      <c r="B55" s="16"/>
      <c r="C55" s="28">
        <f>($C$14*1*(1+$P$6)*(1+$P$7))/$C$6</f>
        <v>1.2162433640000001</v>
      </c>
      <c r="D55" s="28">
        <f>($C$14*1*(1+$P$6)*(1+$P$7))/$C$6</f>
        <v>1.2162433640000001</v>
      </c>
      <c r="E55" s="28">
        <f>($C$14*5*(1+$P$6)*(1+$P$7))/$C$6</f>
        <v>6.0812168200000007</v>
      </c>
      <c r="F55" s="28"/>
      <c r="G55" s="28">
        <f>($G$14*1*(1+$P$6)*(1+$P$7))/$G$6</f>
        <v>1.3899924160000003</v>
      </c>
      <c r="H55" s="28">
        <f>($G$14*1*(1+$P$6)*(1+$P$7))/$G$6</f>
        <v>1.3899924160000003</v>
      </c>
      <c r="I55" s="28">
        <f>($G$14*5*(1+$P$6)*(1+$P$7))/$G$6</f>
        <v>6.9499620800000006</v>
      </c>
      <c r="J55" s="28"/>
      <c r="K55" s="28">
        <f>($K$14*1*(1+$P$6)*(1+$P$7))/$K$6</f>
        <v>1.3031178900000002</v>
      </c>
      <c r="L55" s="28">
        <f>($K$14*1*(1+$P$6)*(1+$P$7))/$K$6</f>
        <v>1.3031178900000002</v>
      </c>
      <c r="M55" s="28">
        <f>($K$14*5*(1+$P$6)*(1+$P$7))/$K$6</f>
        <v>6.5155894500000002</v>
      </c>
      <c r="O55" s="5"/>
    </row>
    <row r="56" spans="1:15" x14ac:dyDescent="0.2">
      <c r="A56" s="14" t="s">
        <v>69</v>
      </c>
      <c r="B56" s="16"/>
      <c r="C56" s="28">
        <f>($C$14*1*(1+$P$6)*(1+$P$7))/$C$6</f>
        <v>1.2162433640000001</v>
      </c>
      <c r="D56" s="28">
        <f t="shared" ref="D56:E56" si="28">($C$14*1*(1+$P$6)*(1+$P$7))/$C$6</f>
        <v>1.2162433640000001</v>
      </c>
      <c r="E56" s="28">
        <f t="shared" si="28"/>
        <v>1.2162433640000001</v>
      </c>
      <c r="F56" s="28"/>
      <c r="G56" s="28">
        <f>($G$14*1*(1+$P$6)*(1+$P$7))/$G$6</f>
        <v>1.3899924160000003</v>
      </c>
      <c r="H56" s="28">
        <f>($G$14*1*(1+$P$6)*(1+$P$7))/$G$6</f>
        <v>1.3899924160000003</v>
      </c>
      <c r="I56" s="28">
        <f>($G$14*1*(1+$P$6)*(1+$P$7))/$G$6</f>
        <v>1.3899924160000003</v>
      </c>
      <c r="J56" s="28"/>
      <c r="K56" s="28">
        <f>($K$14*1*(1+$P$6)*(1+$P$7))/$K$6</f>
        <v>1.3031178900000002</v>
      </c>
      <c r="L56" s="28">
        <f>($K$14*1*(1+$P$6)*(1+$P$7))/$K$6</f>
        <v>1.3031178900000002</v>
      </c>
      <c r="M56" s="28">
        <f>($K$14*1*(1+$P$6)*(1+$P$7))/$K$6</f>
        <v>1.3031178900000002</v>
      </c>
      <c r="O56" s="5"/>
    </row>
    <row r="57" spans="1:15" x14ac:dyDescent="0.2">
      <c r="A57" s="14" t="s">
        <v>47</v>
      </c>
      <c r="B57" s="16"/>
      <c r="C57" s="28">
        <f>2000/$C$6</f>
        <v>0.4</v>
      </c>
      <c r="D57" s="28">
        <f t="shared" ref="D57:E57" si="29">2000/$C$6</f>
        <v>0.4</v>
      </c>
      <c r="E57" s="28">
        <f t="shared" si="29"/>
        <v>0.4</v>
      </c>
      <c r="F57" s="28"/>
      <c r="G57" s="28">
        <f>2000/$G$6</f>
        <v>0.25</v>
      </c>
      <c r="H57" s="28">
        <f t="shared" ref="H57:I57" si="30">2000/$G$6</f>
        <v>0.25</v>
      </c>
      <c r="I57" s="28">
        <f t="shared" si="30"/>
        <v>0.25</v>
      </c>
      <c r="J57" s="28"/>
      <c r="K57" s="28">
        <f>2000/$K$6</f>
        <v>0.15384615384615385</v>
      </c>
      <c r="L57" s="28">
        <f t="shared" ref="L57:M57" si="31">2000/$K$6</f>
        <v>0.15384615384615385</v>
      </c>
      <c r="M57" s="28">
        <f t="shared" si="31"/>
        <v>0.15384615384615385</v>
      </c>
      <c r="O57" s="5"/>
    </row>
  </sheetData>
  <mergeCells count="6">
    <mergeCell ref="C4:E4"/>
    <mergeCell ref="G4:I4"/>
    <mergeCell ref="K4:M4"/>
    <mergeCell ref="C20:E20"/>
    <mergeCell ref="G20:I20"/>
    <mergeCell ref="K20:M2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kostenconfigurator VO</vt:lpstr>
      <vt:lpstr>rekenblad (verbergen)</vt:lpstr>
      <vt:lpstr>'kostenconfigurator VO'!Afdrukbereik</vt:lpstr>
    </vt:vector>
  </TitlesOfParts>
  <Company>TBI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Gemert, Martijn van (Hevo)</dc:creator>
  <cp:lastModifiedBy>Ketelaars-De Man, Christian (Hevo)</cp:lastModifiedBy>
  <cp:lastPrinted>2016-01-05T09:20:16Z</cp:lastPrinted>
  <dcterms:created xsi:type="dcterms:W3CDTF">2015-11-19T10:07:44Z</dcterms:created>
  <dcterms:modified xsi:type="dcterms:W3CDTF">2016-01-27T09:12:20Z</dcterms:modified>
</cp:coreProperties>
</file>